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DxPbc3kuyBQWl+SZWA6oNPZt7CpA+2kqLeMRVYH4+D3zrIEyDrEOiEn4C3RlDhaL1y+OZ86XYcWghDO9uq9ayA==" workbookSaltValue="YWlpQyDqPYvXt6xYfgv21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C18" i="13"/>
  <c r="BF17" i="8"/>
  <c r="BC13" i="13"/>
  <c r="BK19" i="13"/>
  <c r="BE9" i="13"/>
  <c r="ER19" i="8"/>
  <c r="EL19" i="8"/>
  <c r="EQ19" i="8"/>
  <c r="ES19" i="8"/>
  <c r="AC19" i="8"/>
  <c r="BH19" i="13"/>
  <c r="EP19" i="8"/>
  <c r="EP19" i="19"/>
  <c r="AT17" i="20"/>
  <c r="AL9" i="11"/>
  <c r="F9" i="2"/>
  <c r="T13" i="12"/>
  <c r="T13" i="16"/>
  <c r="T13" i="20"/>
  <c r="BB13" i="13"/>
  <c r="BF9" i="8"/>
  <c r="J18" i="17"/>
  <c r="BG15" i="13"/>
  <c r="BA18" i="13"/>
  <c r="BE15" i="13"/>
  <c r="AH20" i="20"/>
  <c r="AL20" i="20"/>
  <c r="AB20" i="20"/>
  <c r="AN20" i="20"/>
  <c r="Y20" i="20"/>
  <c r="U10" i="11"/>
  <c r="AO20" i="20"/>
  <c r="C17" i="6" l="1"/>
  <c r="T19" i="8"/>
  <c r="AL12" i="11"/>
  <c r="AC10" i="11"/>
  <c r="D10" i="6"/>
  <c r="H13" i="12"/>
  <c r="H12" i="7"/>
  <c r="X12" i="21"/>
  <c r="BJ17" i="11"/>
  <c r="V11" i="16"/>
  <c r="BL12" i="11"/>
  <c r="V17" i="16"/>
  <c r="BH9" i="11"/>
  <c r="AP15" i="20"/>
  <c r="AZ9" i="11"/>
  <c r="AZ19" i="11" s="1"/>
  <c r="BW17" i="20"/>
  <c r="BW15" i="20"/>
  <c r="BU16" i="17"/>
  <c r="T16" i="11"/>
  <c r="BL15" i="11"/>
  <c r="BM17" i="11"/>
  <c r="BK10" i="11"/>
  <c r="V9" i="16"/>
  <c r="BH15" i="16"/>
  <c r="BF16" i="11"/>
  <c r="AP10" i="21"/>
  <c r="BJ15" i="11"/>
  <c r="R17" i="20"/>
  <c r="R18" i="20" s="1"/>
  <c r="BU15" i="17"/>
  <c r="BW16" i="20"/>
  <c r="BV10" i="16"/>
  <c r="P15" i="17"/>
  <c r="BH10" i="16"/>
  <c r="BM9" i="11"/>
  <c r="L17" i="2"/>
  <c r="E12" i="6"/>
  <c r="AO12" i="11"/>
  <c r="B10" i="6"/>
  <c r="H12" i="2"/>
  <c r="AY13" i="8"/>
  <c r="BG15" i="8"/>
  <c r="K15" i="7" s="1"/>
  <c r="BD16" i="8"/>
  <c r="H16" i="7" s="1"/>
  <c r="L9" i="14"/>
  <c r="C10" i="6"/>
  <c r="I10" i="12" s="1"/>
  <c r="AO17" i="11"/>
  <c r="L16" i="14"/>
  <c r="L17" i="14"/>
  <c r="AZ18" i="13"/>
  <c r="AY13" i="13"/>
  <c r="F15" i="17"/>
  <c r="AQ15" i="17" s="1"/>
  <c r="L12" i="14"/>
  <c r="BA13" i="13"/>
  <c r="V10" i="16"/>
  <c r="L15" i="2"/>
  <c r="BH12" i="16"/>
  <c r="BF15" i="11"/>
  <c r="Q15" i="17"/>
  <c r="BL10" i="11"/>
  <c r="BF12" i="11"/>
  <c r="S15" i="16"/>
  <c r="S18" i="16" s="1"/>
  <c r="AZ16" i="11"/>
  <c r="BV9" i="16"/>
  <c r="BU17" i="17"/>
  <c r="BU9" i="17"/>
  <c r="BV15" i="16"/>
  <c r="BV16" i="16"/>
  <c r="BW9" i="20"/>
  <c r="AP17" i="20"/>
  <c r="BK17" i="11"/>
  <c r="BG15" i="11"/>
  <c r="BJ12" i="11"/>
  <c r="BI15" i="11"/>
  <c r="BM12" i="11"/>
  <c r="BK11" i="11"/>
  <c r="S17" i="16"/>
  <c r="BF17" i="11"/>
  <c r="Q17" i="20"/>
  <c r="Q18" i="20" s="1"/>
  <c r="BH15"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V15" i="11"/>
  <c r="BH9" i="16"/>
  <c r="AP16" i="20"/>
  <c r="T17"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J13" i="2"/>
  <c r="J18" i="2"/>
  <c r="BD13" i="13"/>
  <c r="P18" i="17"/>
  <c r="P19" i="17"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Q20" i="17"/>
  <c r="AY20" i="11"/>
  <c r="BC20" i="21"/>
  <c r="BK20" i="16"/>
  <c r="S20" i="16"/>
  <c r="X20" i="11"/>
  <c r="AG20" i="11"/>
  <c r="AJ20" i="11"/>
  <c r="AU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V20" i="21"/>
  <c r="BF20" i="16"/>
  <c r="AH20" i="17"/>
  <c r="AW20" i="17"/>
  <c r="BG20" i="16"/>
  <c r="AR20" i="16"/>
  <c r="AT20" i="17"/>
  <c r="R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<sst xmlns="http://schemas.openxmlformats.org/spreadsheetml/2006/main" count="2102" uniqueCount="917">
  <si>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</si>
  <si>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</si>
  <si>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</si>
  <si>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</si>
  <si>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</si>
  <si>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</si>
  <si>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</si>
  <si>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</si>
  <si>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</si>
  <si>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</si>
  <si>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</si>
  <si>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</si>
  <si>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</si>
  <si>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</si>
  <si>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</si>
  <si>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</si>
  <si>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</si>
  <si>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</si>
  <si>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</si>
  <si>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</si>
  <si>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</si>
  <si>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</si>
  <si>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</si>
  <si>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</si>
  <si>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</si>
  <si>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</si>
  <si>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</si>
  <si>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</si>
  <si>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</si>
  <si>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</si>
  <si>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</si>
  <si>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</si>
  <si>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</si>
  <si>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</si>
  <si>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</si>
  <si>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</si>
  <si>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</si>
  <si>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</si>
  <si>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</si>
  <si>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</si>
  <si>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</si>
  <si>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</si>
  <si>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</si>
  <si>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</si>
  <si>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</si>
  <si>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</si>
  <si>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</si>
  <si>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</si>
  <si>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</si>
  <si>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</si>
  <si>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</si>
  <si>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</si>
  <si>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</si>
  <si>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</si>
  <si>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</si>
  <si>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</si>
  <si>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</si>
  <si>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</si>
  <si>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</si>
  <si>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</si>
  <si>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</si>
  <si>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</si>
  <si>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</si>
  <si>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</si>
  <si>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</si>
  <si>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</si>
  <si>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</si>
  <si>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</si>
  <si>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</si>
  <si>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</si>
  <si>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</si>
  <si>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</si>
  <si>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</si>
  <si>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</si>
  <si>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</si>
  <si>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</si>
  <si>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</si>
  <si>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</si>
  <si>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</si>
  <si>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</si>
  <si>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</si>
  <si>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</si>
  <si>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</si>
  <si>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</si>
  <si>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</si>
  <si>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</si>
  <si>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</si>
  <si>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</si>
  <si>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</si>
  <si>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</si>
  <si>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</si>
  <si>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</si>
  <si>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</si>
  <si>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</si>
  <si>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</si>
  <si>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</si>
  <si>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</si>
  <si>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</si>
  <si>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</si>
  <si>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</si>
  <si>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</si>
  <si>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</si>
  <si>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</si>
  <si>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</si>
  <si>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</si>
  <si>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</si>
  <si>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</si>
  <si>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</si>
  <si>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</si>
  <si>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</si>
  <si>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</si>
  <si>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</si>
  <si>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</si>
  <si>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</si>
  <si>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</si>
  <si>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</si>
  <si>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</si>
  <si>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</si>
  <si>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</si>
  <si>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</si>
  <si>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</si>
  <si>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</si>
  <si>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</si>
  <si>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</si>
  <si>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</si>
  <si>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</si>
  <si>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</si>
  <si>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</si>
  <si>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</si>
  <si>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</si>
  <si>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</si>
  <si>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</si>
  <si>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</si>
  <si>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</si>
  <si>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</si>
  <si>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</si>
  <si>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</si>
  <si>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</si>
  <si>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</si>
  <si>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</si>
  <si>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</si>
  <si>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</si>
  <si>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</si>
  <si>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</si>
  <si>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</si>
  <si>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</si>
  <si>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</si>
  <si>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</si>
  <si>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</si>
  <si>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</si>
  <si>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</si>
  <si>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</si>
  <si>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</si>
  <si>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</si>
  <si>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</si>
  <si>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</si>
  <si>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</si>
  <si>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</si>
  <si>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</si>
  <si>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</si>
  <si>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</si>
  <si>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</si>
  <si>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</si>
  <si>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</si>
  <si>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</si>
  <si>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</si>
  <si>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</si>
  <si>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</si>
  <si>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</si>
  <si>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</si>
  <si>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</si>
  <si>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</si>
  <si>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</si>
  <si>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</si>
  <si>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</si>
  <si>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</si>
  <si>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</si>
  <si>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</si>
  <si>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</si>
  <si>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</si>
  <si>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</si>
  <si>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</si>
  <si>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</si>
  <si>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</si>
  <si>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</si>
  <si>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</si>
  <si>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</si>
  <si>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</si>
  <si>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</si>
  <si>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</si>
  <si>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</si>
  <si>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</si>
  <si>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</si>
  <si>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</si>
  <si>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</si>
  <si>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</si>
  <si>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</si>
  <si>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</si>
  <si>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</si>
  <si>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</si>
  <si>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</si>
  <si>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</si>
  <si>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</si>
  <si>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</si>
  <si>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</si>
  <si>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</si>
  <si>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</si>
  <si>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</si>
  <si>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</si>
  <si>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</si>
  <si>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</si>
  <si>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</si>
  <si>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</si>
  <si>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</si>
  <si>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</si>
  <si>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</si>
  <si>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</si>
  <si>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</si>
  <si>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</si>
  <si>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</si>
  <si>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</si>
  <si>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</si>
  <si>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</si>
  <si>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</si>
  <si>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</si>
  <si>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</si>
  <si>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</si>
  <si>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</si>
  <si>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</si>
  <si>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</si>
  <si>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</si>
  <si>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</si>
  <si>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</si>
  <si>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</si>
  <si>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</si>
  <si>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</si>
  <si>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</si>
  <si>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</si>
  <si>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</si>
  <si>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</si>
  <si>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</si>
  <si>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</si>
  <si>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</si>
  <si>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</si>
  <si>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</si>
  <si>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</si>
  <si>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</si>
  <si>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</si>
  <si>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</si>
  <si>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</si>
  <si>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</si>
  <si>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</si>
  <si>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</si>
  <si>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</si>
  <si>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</si>
  <si>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</si>
  <si>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</si>
  <si>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</si>
  <si>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</si>
  <si>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</si>
  <si>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</si>
  <si>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</si>
  <si>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</si>
  <si>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</si>
  <si>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</si>
  <si>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</si>
  <si>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</si>
  <si>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</si>
  <si>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</si>
  <si>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</si>
  <si>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</si>
  <si>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</si>
  <si>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</si>
  <si>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</si>
  <si>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</si>
  <si>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</si>
  <si>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</si>
  <si>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</si>
  <si>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</si>
  <si>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</si>
  <si>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</si>
  <si>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</si>
  <si>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</si>
  <si>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</si>
  <si>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</si>
  <si>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</si>
  <si>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</si>
  <si>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</si>
  <si>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</si>
  <si>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</si>
  <si>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</si>
  <si>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</si>
  <si>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</si>
  <si>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</si>
  <si>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</si>
  <si>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</si>
  <si>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</si>
  <si>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</si>
  <si>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</si>
  <si>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</si>
  <si>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</si>
  <si>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</si>
  <si>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</si>
  <si>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</si>
  <si>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</si>
  <si>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</si>
  <si>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</si>
  <si>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</si>
  <si>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</si>
  <si>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</si>
  <si>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</si>
  <si>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</si>
  <si>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</si>
  <si>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</si>
  <si>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</si>
  <si>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</si>
  <si>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</si>
  <si>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</si>
  <si>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</si>
  <si>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</si>
  <si>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</si>
  <si>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</si>
  <si>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</si>
  <si>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</si>
  <si>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</si>
  <si>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</si>
  <si>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</si>
  <si>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</si>
  <si>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</si>
  <si>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</si>
  <si>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</si>
  <si>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</si>
  <si>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</si>
  <si>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</si>
  <si>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</si>
  <si>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</si>
  <si>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</si>
  <si>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</si>
  <si>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</si>
  <si>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</si>
  <si>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</si>
  <si>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</si>
  <si>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</si>
  <si>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</si>
  <si>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</si>
  <si>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</si>
  <si>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</si>
  <si>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</si>
  <si>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</si>
  <si>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</si>
  <si>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</si>
  <si>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</si>
  <si>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</si>
  <si>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</si>
  <si>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</si>
  <si>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</si>
  <si>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</si>
  <si>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</si>
  <si>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</si>
  <si>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</si>
  <si>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</si>
  <si>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</si>
  <si>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</si>
  <si>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</si>
  <si>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</si>
  <si>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</si>
  <si>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</si>
  <si>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</si>
  <si>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</si>
  <si>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</si>
  <si>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</si>
  <si>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</si>
  <si>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</si>
  <si>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</si>
  <si>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</si>
  <si>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</si>
  <si>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</si>
  <si>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</si>
  <si>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</si>
  <si>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</si>
  <si>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</si>
  <si>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</si>
  <si>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</si>
  <si>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</si>
  <si>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</si>
  <si>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</si>
  <si>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</si>
  <si>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</si>
  <si>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</si>
  <si>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</si>
  <si>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</si>
  <si>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</si>
  <si>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</si>
  <si>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</si>
  <si>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</si>
  <si>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</si>
  <si>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</si>
  <si>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</si>
  <si>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</si>
  <si>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</si>
  <si>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</si>
  <si>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</si>
  <si>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</si>
  <si>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</si>
  <si>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</si>
  <si>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</si>
  <si>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</si>
  <si>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</si>
  <si>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</si>
  <si>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</si>
  <si>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</si>
  <si>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</si>
  <si>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</si>
  <si>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</si>
  <si>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</si>
  <si>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</si>
  <si>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</si>
  <si>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</si>
  <si>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</si>
  <si>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</si>
  <si>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</si>
  <si>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</si>
  <si>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</si>
  <si>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</si>
  <si>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</si>
  <si>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</si>
  <si>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</si>
  <si>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</si>
  <si>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</si>
  <si>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</si>
  <si>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</si>
  <si>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</si>
  <si>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</si>
  <si>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</si>
  <si>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</si>
  <si>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</si>
  <si>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</si>
  <si>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</si>
  <si>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</si>
  <si>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</si>
  <si>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</si>
  <si>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</si>
  <si>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</si>
  <si>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</si>
  <si>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</si>
  <si>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</si>
  <si>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</si>
  <si>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</si>
  <si>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</si>
  <si>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</si>
  <si>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</si>
  <si>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</si>
  <si>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</si>
  <si>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</si>
  <si>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</si>
  <si>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</si>
  <si>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</si>
  <si>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</si>
  <si>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</si>
  <si>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</si>
  <si>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</si>
  <si>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</si>
  <si>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</si>
  <si>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</si>
  <si>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</si>
  <si>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</si>
  <si>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</si>
  <si>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</si>
  <si>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</si>
  <si>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</si>
  <si>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</si>
  <si>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</si>
  <si>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</si>
  <si>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</si>
  <si>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</si>
  <si>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</si>
  <si>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</si>
  <si>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</si>
  <si>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</si>
  <si>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</si>
  <si>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</si>
  <si>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</si>
  <si>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</si>
  <si>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</si>
  <si>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</si>
  <si>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</si>
  <si>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</si>
  <si>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</si>
  <si>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</si>
  <si>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</si>
  <si>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</si>
  <si>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</si>
  <si>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</si>
  <si>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</si>
  <si>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</si>
  <si>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</si>
  <si>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</si>
  <si>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</si>
  <si>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</si>
  <si>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</si>
  <si>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</si>
  <si>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</si>
  <si>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</si>
  <si>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</si>
  <si>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</si>
  <si>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</si>
  <si>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</si>
  <si>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</si>
  <si>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</si>
  <si>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</si>
  <si>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</si>
  <si>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</si>
  <si>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</si>
  <si>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</si>
  <si>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</si>
  <si>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</si>
  <si>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</si>
  <si>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</si>
  <si>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</si>
  <si>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</si>
  <si>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</si>
  <si>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</si>
  <si>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</si>
  <si>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</si>
  <si>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</si>
  <si>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</si>
  <si>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</si>
  <si>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</si>
  <si>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</si>
  <si>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</si>
  <si>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</si>
  <si>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</si>
  <si>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</si>
  <si>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</si>
  <si>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</si>
  <si>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</si>
  <si>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</si>
  <si>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</si>
  <si>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</si>
  <si>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</si>
  <si>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</si>
  <si>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</si>
  <si>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</si>
  <si>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</si>
  <si>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</si>
  <si>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</si>
  <si>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</si>
  <si>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</si>
  <si>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</si>
  <si>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</si>
  <si>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</si>
  <si>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</si>
  <si>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</si>
  <si>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</si>
  <si>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</si>
  <si>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</si>
  <si>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</si>
  <si>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</si>
  <si>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</si>
  <si>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</si>
  <si>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</si>
  <si>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</si>
  <si>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</si>
  <si>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</si>
  <si>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</si>
  <si>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</si>
  <si>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</si>
  <si>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</si>
  <si>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</si>
  <si>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</si>
  <si>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</si>
  <si>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</si>
  <si>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</si>
  <si>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</si>
  <si>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</si>
  <si>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</si>
  <si>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</si>
  <si>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</si>
  <si>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</si>
  <si>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</si>
  <si>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</si>
  <si>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</si>
  <si>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</si>
  <si>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</si>
  <si>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</si>
  <si>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</si>
  <si>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</si>
  <si>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</si>
  <si>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</si>
  <si>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</si>
  <si>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</si>
  <si>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</si>
  <si>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</si>
  <si>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</si>
  <si>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</si>
  <si>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</si>
  <si>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</si>
  <si>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</si>
  <si>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</si>
  <si>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</si>
  <si>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</si>
  <si>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</si>
  <si>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</si>
  <si>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</si>
  <si>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</si>
  <si>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</si>
  <si>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</si>
  <si>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</si>
  <si>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</si>
  <si>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</si>
  <si>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</si>
  <si>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</si>
  <si>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</si>
  <si>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</si>
  <si>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</si>
  <si>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</si>
  <si>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</si>
  <si>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</si>
  <si>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</si>
  <si>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</si>
  <si>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</si>
  <si>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</si>
  <si>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</si>
  <si>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</si>
  <si>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</si>
  <si>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</si>
  <si>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</si>
  <si>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</si>
  <si>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</si>
  <si>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</si>
  <si>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</si>
  <si>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</si>
  <si>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</si>
  <si>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</si>
  <si>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</si>
  <si>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</si>
  <si>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</si>
  <si>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</si>
  <si>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</si>
  <si>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</si>
  <si>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</si>
  <si>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</si>
  <si>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</si>
  <si>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</si>
  <si>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</si>
  <si>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</si>
  <si>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</si>
  <si>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</si>
  <si>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</si>
  <si>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</si>
  <si>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</si>
  <si>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</si>
  <si>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</si>
  <si>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</si>
  <si>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</si>
  <si>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</si>
  <si>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</si>
  <si>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</si>
  <si>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</si>
  <si>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</si>
  <si>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</si>
  <si>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</si>
  <si>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</si>
  <si>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</si>
  <si>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</si>
  <si>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</si>
  <si>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</si>
  <si>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</si>
  <si>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</si>
  <si>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</si>
  <si>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</si>
  <si>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</si>
  <si>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</si>
  <si>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</si>
  <si>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</si>
  <si>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</si>
  <si>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</si>
  <si>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</si>
  <si>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</si>
  <si>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</si>
  <si>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</si>
  <si>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</si>
  <si>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</si>
  <si>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</si>
  <si>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</si>
  <si>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</si>
  <si>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</si>
  <si>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</si>
  <si>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</si>
  <si>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</si>
  <si>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</si>
  <si>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</si>
  <si>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</si>
  <si>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</si>
  <si>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</si>
  <si>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</si>
  <si>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</si>
  <si>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</si>
  <si>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</si>
  <si>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</si>
  <si>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</si>
  <si>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</si>
  <si>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</si>
  <si>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</si>
  <si>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</si>
  <si>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</si>
  <si>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</si>
  <si>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</si>
  <si>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</si>
  <si>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</si>
  <si>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</si>
  <si>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</si>
  <si>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</si>
  <si>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</si>
  <si>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</si>
  <si>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</si>
  <si>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</si>
  <si>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</si>
  <si>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</si>
  <si>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</si>
  <si>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</si>
  <si>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</si>
  <si>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</si>
  <si>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</si>
  <si>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</si>
  <si>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</si>
  <si>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</si>
  <si>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</si>
  <si>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</si>
  <si>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</si>
  <si>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</si>
  <si>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</si>
  <si>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</si>
  <si>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</si>
  <si>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</si>
  <si>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</si>
  <si>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</si>
  <si>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</si>
  <si>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</si>
  <si>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</si>
  <si>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</si>
  <si>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</si>
  <si>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</si>
  <si>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</si>
  <si>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</si>
  <si>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</si>
  <si>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</si>
  <si>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</si>
  <si>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</si>
  <si>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</si>
  <si>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</si>
  <si>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</si>
  <si>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</si>
  <si>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</si>
  <si>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</si>
  <si>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</si>
  <si>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</si>
  <si>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</si>
  <si>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</si>
  <si>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</si>
  <si>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</si>
  <si>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</si>
  <si>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</si>
  <si>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</si>
  <si>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</si>
  <si>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</si>
  <si>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</si>
  <si>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</si>
  <si>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</si>
  <si>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</si>
  <si>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</si>
  <si>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</si>
  <si>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</si>
  <si>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</si>
  <si>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</si>
  <si>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</si>
  <si>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</si>
  <si>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</si>
  <si>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</si>
  <si>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</si>
  <si>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</si>
  <si>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</si>
  <si>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</si>
  <si>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</si>
  <si>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</si>
  <si>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</si>
  <si>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</si>
  <si>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</si>
  <si>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</si>
  <si>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</si>
  <si>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</si>
  <si>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</si>
  <si>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</si>
  <si>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</si>
  <si>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</si>
  <si>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</si>
  <si>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</si>
  <si>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</si>
  <si>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</si>
  <si>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</si>
  <si>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</si>
  <si>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</si>
  <si>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</si>
  <si>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</si>
  <si>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</si>
  <si>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</si>
  <si>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</si>
  <si>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</si>
  <si>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</si>
  <si>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</si>
  <si>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</si>
  <si>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</si>
  <si>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</si>
  <si>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</si>
  <si>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</si>
  <si>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</si>
  <si>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</si>
  <si>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</si>
  <si>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</si>
  <si>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</si>
  <si>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</si>
  <si>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</si>
  <si>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</si>
  <si>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</si>
  <si>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</si>
  <si>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</si>
  <si>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</si>
  <si>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</si>
  <si>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</si>
  <si>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</si>
  <si>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</si>
  <si>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</si>
  <si>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</si>
  <si>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</si>
  <si>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</si>
  <si>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</si>
  <si>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</si>
  <si>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</si>
  <si>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</si>
  <si>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</si>
  <si>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</si>
  <si>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</si>
  <si>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</si>
  <si>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</si>
  <si>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</si>
  <si>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</si>
  <si>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</si>
  <si>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</si>
  <si>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</si>
  <si>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</si>
  <si>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</si>
  <si>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</si>
  <si>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</si>
  <si>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</si>
  <si>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</si>
  <si>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</si>
  <si>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</si>
  <si>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</si>
  <si>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</si>
  <si>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</si>
  <si>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</si>
  <si>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</si>
  <si>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</si>
  <si>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</si>
  <si>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</si>
  <si>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</si>
  <si>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</si>
  <si>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</si>
  <si>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</si>
  <si>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</si>
  <si>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</si>
  <si>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</si>
  <si>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</si>
  <si>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</si>
  <si>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</si>
  <si>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</si>
  <si>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</si>
  <si>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</si>
  <si>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</si>
  <si>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</si>
  <si>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</si>
  <si>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</si>
  <si>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</si>
  <si>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</si>
  <si>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</si>
  <si>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</si>
  <si>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</si>
  <si>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</si>
  <si>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</si>
  <si>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</si>
  <si>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</si>
  <si>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</si>
  <si>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</si>
  <si>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</si>
  <si>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</si>
  <si>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</si>
  <si>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</si>
  <si>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</si>
  <si>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</si>
  <si>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</si>
  <si>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</si>
  <si>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</si>
  <si>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</si>
  <si>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</si>
  <si>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</si>
  <si>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</si>
  <si>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</si>
  <si>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</si>
  <si>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</si>
  <si>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</si>
  <si>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</si>
  <si>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</si>
  <si>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</si>
  <si>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</si>
  <si>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</si>
  <si>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</si>
  <si>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VILA JOIOSA, LA-VILLAJOYOSA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</si>
</sst>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l6wUjTbsTCmgoEd4MbnHbt3Nu14uBg1ByV2a6pMgJp8Jo0diP9bS2hSIg177ixzAjOnjTvQpihNws8KMcBfsQ==" saltValue="Q8CLFhg94KQpwhYwJ/VB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1</v>
      </c>
      <c r="F10" s="226">
        <f>IF(ISNUMBER(Datos!K10),Datos!K10," - ")</f>
        <v>1</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80.666666666666657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2717</v>
      </c>
      <c r="D16" s="225">
        <f>IF(ISNUMBER(IF(D_I="SI",Datos!I16,Datos!I16+Datos!AC16)),IF(D_I="SI",Datos!I16,Datos!I16+Datos!AC16)," - ")</f>
        <v>2720</v>
      </c>
      <c r="E16" s="226">
        <f>IF(ISNUMBER(IF(D_I="SI",Datos!J16,Datos!J16+Datos!AD16)),IF(D_I="SI",Datos!J16,Datos!J16+Datos!AD16)," - ")</f>
        <v>471</v>
      </c>
      <c r="F16" s="226">
        <f>IF(ISNUMBER(IF(D_I="SI",Datos!K16,Datos!K16+Datos!AE16)),IF(D_I="SI",Datos!K16,Datos!K16+Datos!AE16)," - ")</f>
        <v>499</v>
      </c>
      <c r="G16" s="1034" t="str">
        <f>IF(Datos!E16&lt;&gt;"",Datos!E16,Datos!D16)</f>
        <v>04</v>
      </c>
      <c r="H16" s="227">
        <f>IF(ISNUMBER(IF(D_I="SI",Datos!L16,Datos!L16+Datos!AF16)),IF(D_I="SI",Datos!L16,Datos!L16+Datos!AF16)," - ")</f>
        <v>2689</v>
      </c>
      <c r="I16" s="1044" t="str">
        <f>IF(ISNUMBER(Datos!AS16/Datos!BM16),Datos!AS16/Datos!BM16," - ")</f>
        <v xml:space="preserve"> - </v>
      </c>
      <c r="J16" s="1045">
        <f>IF(ISNUMBER(Datos!BY16/Datos!CN16),Datos!BY16/Datos!CN16," - ")</f>
        <v>0</v>
      </c>
      <c r="K16" s="230">
        <f t="shared" si="3"/>
        <v>-1.0305483989694516E-2</v>
      </c>
      <c r="L16" s="1025">
        <f>IF(ISNUMBER(NºAsuntos!I16/NºAsuntos!G16),(NºAsuntos!I16/NºAsuntos!G16)*11," - ")</f>
        <v>59.276553106212418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v>
      </c>
      <c r="D17" s="225">
        <f>IF(ISNUMBER(IF(D_I="SI",Datos!I17,Datos!I17+Datos!AC17)),IF(D_I="SI",Datos!I17,Datos!I17+Datos!AC17)," - ")</f>
        <v>67</v>
      </c>
      <c r="E17" s="226">
        <f>IF(ISNUMBER(IF(D_I="SI",Datos!J17,Datos!J17+Datos!AD17)),IF(D_I="SI",Datos!J17,Datos!J17+Datos!AD17)," - ")</f>
        <v>0</v>
      </c>
      <c r="F17" s="226">
        <f>IF(ISNUMBER(IF(D_I="SI",Datos!K17,Datos!K17+Datos!AE17)),IF(D_I="SI",Datos!K17,Datos!K17+Datos!AE17)," - ")</f>
        <v>3</v>
      </c>
      <c r="G17" s="1034" t="str">
        <f>IF(Datos!E17&lt;&gt;"",Datos!E17,Datos!D17)</f>
        <v>37</v>
      </c>
      <c r="H17" s="227">
        <f>IF(ISNUMBER(IF(D_I="SI",Datos!L17,Datos!L17+Datos!AF17)),IF(D_I="SI",Datos!L17,Datos!L17+Datos!AF17)," - ")</f>
        <v>64</v>
      </c>
      <c r="I17" s="1044" t="str">
        <f>IF(ISNUMBER(Datos!AS17/Datos!BM17),Datos!AS17/Datos!BM17," - ")</f>
        <v xml:space="preserve"> - </v>
      </c>
      <c r="J17" s="1045" t="str">
        <f>IF(ISNUMBER((Datos!BY17+Datos!BZ17)/Datos!CN17),(Datos!BY17+Datos!BZ17)/Datos!CN17," - ")</f>
        <v xml:space="preserve"> - </v>
      </c>
      <c r="K17" s="230">
        <f t="shared" si="3"/>
        <v>-4.4776119402985072E-2</v>
      </c>
      <c r="L17" s="1025">
        <f>IF(ISNUMBER(NºAsuntos!I17/NºAsuntos!G17),(NºAsuntos!I17/NºAsuntos!G17)*11," - ")</f>
        <v>234.66666666666666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2784</v>
      </c>
      <c r="D18" s="1049">
        <f>SUBTOTAL(9,D15:D17)</f>
        <v>2787</v>
      </c>
      <c r="E18" s="1050">
        <f>SUBTOTAL(9,E15:E17)</f>
        <v>471</v>
      </c>
      <c r="F18" s="1050">
        <f>SUBTOTAL(9,F15:F17)</f>
        <v>502</v>
      </c>
      <c r="G18" s="1052" t="str">
        <f ca="1">INDIRECT(CONCATENATE("G",ROW()-1))</f>
        <v>37</v>
      </c>
      <c r="H18" s="1053">
        <f ca="1">SUMIF(G$14:G17,G18,H$14:H17)</f>
        <v>64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2792</v>
      </c>
      <c r="D19" s="1071">
        <f>SUBTOTAL(9,D9:D18)</f>
        <v>2795</v>
      </c>
      <c r="E19" s="1072">
        <f>SUBTOTAL(9,E9:E18)</f>
        <v>472</v>
      </c>
      <c r="F19" s="1072">
        <f>SUBTOTAL(9,F9:F18)</f>
        <v>503</v>
      </c>
      <c r="G19" s="1073"/>
      <c r="H19" s="1074">
        <f ca="1">SUMIF(B9:B18,"TOTAL",H9:H18)</f>
        <v>64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XQtj57MFWGBcfPywljQnOnRlqOmO1xTx8X0Z0RAamGkCV6tYWpvWaIlWi6sd5NSfBDqjZ8uy0dpwC1MwLWXTvg==" saltValue="fBm6bMddBcrzNMrnDV3Mb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PEX34sDzyMumWi6SLOB8Hp/E/pYhLbZtXt0vttP8I3MdMWHl5MbSaOnDViWRP9iMHg7jfa4UJ7C7il3XB0J1w==" saltValue="IA+/mvGFDJdskehhpbLN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1</v>
      </c>
      <c r="K10" s="181">
        <v>1</v>
      </c>
      <c r="L10" s="181">
        <v>8</v>
      </c>
      <c r="M10" s="181">
        <v>1</v>
      </c>
      <c r="N10" s="181">
        <v>0</v>
      </c>
      <c r="O10" s="181">
        <v>0</v>
      </c>
      <c r="P10" s="181">
        <v>0</v>
      </c>
      <c r="Q10" s="181">
        <v>0</v>
      </c>
      <c r="R10" s="181">
        <v>1</v>
      </c>
      <c r="S10" s="181">
        <v>5</v>
      </c>
      <c r="T10" s="181">
        <v>1</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v>
      </c>
      <c r="AZ10" s="129">
        <f t="shared" si="0"/>
        <v>1</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6201</v>
      </c>
      <c r="J12" s="183">
        <v>679</v>
      </c>
      <c r="K12" s="183">
        <v>660</v>
      </c>
      <c r="L12" s="183">
        <v>6222</v>
      </c>
      <c r="M12" s="183">
        <v>153</v>
      </c>
      <c r="N12" s="183">
        <v>317</v>
      </c>
      <c r="O12" s="181">
        <v>323</v>
      </c>
      <c r="P12" s="183">
        <v>168</v>
      </c>
      <c r="Q12" s="183">
        <v>50</v>
      </c>
      <c r="R12" s="183">
        <v>6068</v>
      </c>
      <c r="S12" s="183">
        <v>5039</v>
      </c>
      <c r="T12" s="183">
        <v>1226</v>
      </c>
      <c r="U12" s="183">
        <v>857</v>
      </c>
      <c r="V12" s="183">
        <v>5347</v>
      </c>
      <c r="W12" s="183">
        <v>220</v>
      </c>
      <c r="X12" s="189">
        <v>341</v>
      </c>
      <c r="Y12" s="191">
        <v>249</v>
      </c>
      <c r="Z12" s="181">
        <v>294</v>
      </c>
      <c r="AA12" s="181">
        <v>231</v>
      </c>
      <c r="AB12" s="181">
        <v>312</v>
      </c>
      <c r="AC12" s="183">
        <v>0</v>
      </c>
      <c r="AD12" s="183">
        <v>0</v>
      </c>
      <c r="AE12" s="183">
        <v>0</v>
      </c>
      <c r="AF12" s="189">
        <v>0</v>
      </c>
      <c r="AG12" s="202">
        <v>161</v>
      </c>
      <c r="AH12" s="183">
        <v>127</v>
      </c>
      <c r="AI12" s="183">
        <v>111</v>
      </c>
      <c r="AJ12" s="203">
        <v>177</v>
      </c>
      <c r="AK12" s="182">
        <v>0</v>
      </c>
      <c r="AL12" s="183">
        <v>0</v>
      </c>
      <c r="AM12" s="183">
        <v>0</v>
      </c>
      <c r="AN12" s="189">
        <v>0</v>
      </c>
      <c r="AO12" s="259">
        <v>4</v>
      </c>
      <c r="AP12" s="155">
        <v>4</v>
      </c>
      <c r="AQ12" s="155">
        <v>4</v>
      </c>
      <c r="AR12" s="154">
        <v>4</v>
      </c>
      <c r="AS12" s="340" t="s">
        <v>801</v>
      </c>
      <c r="AT12" s="203"/>
      <c r="AU12" s="202"/>
      <c r="AV12" s="203"/>
      <c r="AW12" s="202"/>
      <c r="AX12" s="203"/>
      <c r="AY12" s="126">
        <f t="shared" si="1"/>
        <v>5200</v>
      </c>
      <c r="AZ12" s="127">
        <f t="shared" si="1"/>
        <v>1353</v>
      </c>
      <c r="BA12" s="127">
        <f t="shared" si="1"/>
        <v>968</v>
      </c>
      <c r="BB12" s="127">
        <f t="shared" si="1"/>
        <v>5524</v>
      </c>
      <c r="BC12" s="125">
        <f>IF(ISNUMBER(X12),X12," - ")</f>
        <v>341</v>
      </c>
      <c r="BD12" s="126">
        <f t="shared" si="2"/>
        <v>0.71544715447154472</v>
      </c>
      <c r="BE12" s="127">
        <f t="shared" si="3"/>
        <v>5.7066115702479339</v>
      </c>
      <c r="BF12" s="127">
        <f t="shared" si="4"/>
        <v>0.35227272727272729</v>
      </c>
      <c r="BG12" s="196">
        <f t="shared" si="5"/>
        <v>6.7696280991735538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6209</v>
      </c>
      <c r="J13" s="184">
        <f t="shared" si="6"/>
        <v>680</v>
      </c>
      <c r="K13" s="184">
        <f t="shared" si="6"/>
        <v>661</v>
      </c>
      <c r="L13" s="184">
        <f t="shared" si="6"/>
        <v>6230</v>
      </c>
      <c r="M13" s="184">
        <f t="shared" si="6"/>
        <v>154</v>
      </c>
      <c r="N13" s="184">
        <f t="shared" si="6"/>
        <v>317</v>
      </c>
      <c r="O13" s="184">
        <f t="shared" si="6"/>
        <v>323</v>
      </c>
      <c r="P13" s="184">
        <f t="shared" si="6"/>
        <v>168</v>
      </c>
      <c r="Q13" s="184">
        <f t="shared" si="6"/>
        <v>50</v>
      </c>
      <c r="R13" s="184">
        <f t="shared" si="6"/>
        <v>6069</v>
      </c>
      <c r="S13" s="184">
        <f t="shared" si="6"/>
        <v>5044</v>
      </c>
      <c r="T13" s="184">
        <f t="shared" si="6"/>
        <v>1227</v>
      </c>
      <c r="U13" s="184">
        <f t="shared" si="6"/>
        <v>857</v>
      </c>
      <c r="V13" s="184">
        <f t="shared" si="6"/>
        <v>5353</v>
      </c>
      <c r="W13" s="184">
        <f t="shared" si="6"/>
        <v>220</v>
      </c>
      <c r="X13" s="184">
        <f t="shared" si="6"/>
        <v>341</v>
      </c>
      <c r="Y13" s="184">
        <f t="shared" si="6"/>
        <v>249</v>
      </c>
      <c r="Z13" s="184">
        <f t="shared" si="6"/>
        <v>294</v>
      </c>
      <c r="AA13" s="184">
        <f t="shared" si="6"/>
        <v>231</v>
      </c>
      <c r="AB13" s="184">
        <f t="shared" si="6"/>
        <v>312</v>
      </c>
      <c r="AC13" s="184">
        <f t="shared" si="6"/>
        <v>0</v>
      </c>
      <c r="AD13" s="184">
        <f t="shared" si="6"/>
        <v>0</v>
      </c>
      <c r="AE13" s="184">
        <f t="shared" si="6"/>
        <v>0</v>
      </c>
      <c r="AF13" s="184">
        <f>SUBTOTAL(9,AF9:AF12)</f>
        <v>0</v>
      </c>
      <c r="AG13" s="184">
        <f t="shared" ref="AG13:AT13" si="7">SUBTOTAL(9,AG8:AG12)</f>
        <v>161</v>
      </c>
      <c r="AH13" s="184">
        <f t="shared" si="7"/>
        <v>127</v>
      </c>
      <c r="AI13" s="184">
        <f t="shared" si="7"/>
        <v>111</v>
      </c>
      <c r="AJ13" s="184">
        <f t="shared" si="7"/>
        <v>177</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5205</v>
      </c>
      <c r="AZ13" s="184">
        <f>SUBTOTAL(9,AZ8:AZ12)</f>
        <v>1354</v>
      </c>
      <c r="BA13" s="184">
        <f>SUBTOTAL(9,BA8:BA12)</f>
        <v>968</v>
      </c>
      <c r="BB13" s="184">
        <f>SUBTOTAL(9,BB8:BB12)</f>
        <v>5530</v>
      </c>
      <c r="BC13" s="184">
        <f>SUBTOTAL(9,BC8:BC12)</f>
        <v>341</v>
      </c>
      <c r="BD13" s="205">
        <f>IF(ISNUMBER(BA13/AZ13),BA13/AZ13," - ")</f>
        <v>0.71491875923190551</v>
      </c>
      <c r="BE13" s="206">
        <f>IF(ISNUMBER(BB13/BA13),BB13/BA13, " - ")</f>
        <v>5.7128099173553721</v>
      </c>
      <c r="BF13" s="206">
        <f>IF(ISNUMBER(BC13/BA13),BC13/BA13, " - ")</f>
        <v>0.35227272727272729</v>
      </c>
      <c r="BG13" s="207">
        <f>IF(ISNUMBER((AY13+AZ13)/BA13),(AY13+AZ13)/BA13," - ")</f>
        <v>6.7758264462809921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2720</v>
      </c>
      <c r="J16" s="183">
        <v>471</v>
      </c>
      <c r="K16" s="183">
        <v>499</v>
      </c>
      <c r="L16" s="183">
        <v>2689</v>
      </c>
      <c r="M16" s="183">
        <v>92</v>
      </c>
      <c r="N16" s="183">
        <v>285</v>
      </c>
      <c r="O16" s="181">
        <v>6</v>
      </c>
      <c r="P16" s="183">
        <v>21</v>
      </c>
      <c r="Q16" s="183">
        <v>13</v>
      </c>
      <c r="R16" s="183">
        <v>205</v>
      </c>
      <c r="S16" s="183">
        <v>1625</v>
      </c>
      <c r="T16" s="183">
        <v>708</v>
      </c>
      <c r="U16" s="183">
        <v>628</v>
      </c>
      <c r="V16" s="183">
        <v>1797</v>
      </c>
      <c r="W16" s="183">
        <v>118</v>
      </c>
      <c r="X16" s="189">
        <v>386</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4</v>
      </c>
      <c r="AP16" s="155">
        <v>4</v>
      </c>
      <c r="AQ16" s="155">
        <v>4</v>
      </c>
      <c r="AR16" s="155">
        <v>4</v>
      </c>
      <c r="AS16" s="340" t="s">
        <v>487</v>
      </c>
      <c r="AT16" s="203"/>
      <c r="AU16" s="202"/>
      <c r="AV16" s="203"/>
      <c r="AW16" s="202"/>
      <c r="AX16" s="203"/>
      <c r="AY16" s="126">
        <f t="shared" si="9"/>
        <v>1625</v>
      </c>
      <c r="AZ16" s="127">
        <f t="shared" si="9"/>
        <v>708</v>
      </c>
      <c r="BA16" s="127">
        <f t="shared" si="9"/>
        <v>628</v>
      </c>
      <c r="BB16" s="127">
        <f t="shared" si="9"/>
        <v>1797</v>
      </c>
      <c r="BC16" s="125">
        <f>IF(ISNUMBER(W16),W16," - ")</f>
        <v>118</v>
      </c>
      <c r="BD16" s="126">
        <f t="shared" ref="BD16" si="11">IF(ISNUMBER(BA16/AZ16),BA16/AZ16," - ")</f>
        <v>0.88700564971751417</v>
      </c>
      <c r="BE16" s="127">
        <f t="shared" ref="BE16" si="12">IF(ISNUMBER(BB16/BA16),BB16/BA16, " - ")</f>
        <v>2.8614649681528661</v>
      </c>
      <c r="BF16" s="127">
        <f t="shared" ref="BF16" si="13">IF(ISNUMBER(BC16/BA16),BC16/BA16, " - ")</f>
        <v>0.18789808917197454</v>
      </c>
      <c r="BG16" s="196">
        <f t="shared" si="10"/>
        <v>3.7149681528662422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0</v>
      </c>
      <c r="K17" s="183">
        <v>3</v>
      </c>
      <c r="L17" s="183">
        <v>64</v>
      </c>
      <c r="M17" s="183">
        <v>0</v>
      </c>
      <c r="N17" s="183">
        <v>0</v>
      </c>
      <c r="O17" s="183">
        <v>0</v>
      </c>
      <c r="P17" s="183">
        <v>0</v>
      </c>
      <c r="Q17" s="183">
        <v>0</v>
      </c>
      <c r="R17" s="183">
        <v>0</v>
      </c>
      <c r="S17" s="183">
        <v>83</v>
      </c>
      <c r="T17" s="183">
        <v>15</v>
      </c>
      <c r="U17" s="183">
        <v>14</v>
      </c>
      <c r="V17" s="183">
        <v>84</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83</v>
      </c>
      <c r="AZ17" s="129">
        <f t="shared" si="14"/>
        <v>15</v>
      </c>
      <c r="BA17" s="129">
        <f t="shared" si="14"/>
        <v>14</v>
      </c>
      <c r="BB17" s="129">
        <f t="shared" si="14"/>
        <v>84</v>
      </c>
      <c r="BC17" s="125">
        <f>IF(ISNUMBER(W17),W17," - ")</f>
        <v>0</v>
      </c>
      <c r="BD17" s="126">
        <f>IF(ISNUMBER(BA17/AZ17),BA17/AZ17," - ")</f>
        <v>0.93333333333333335</v>
      </c>
      <c r="BE17" s="127">
        <f>IF(ISNUMBER(BB17/BA17),BB17/BA17, " - ")</f>
        <v>6</v>
      </c>
      <c r="BF17" s="127">
        <f>IF(ISNUMBER(BC17/BA17),BC17/BA17, " - ")</f>
        <v>0</v>
      </c>
      <c r="BG17" s="196">
        <f>IF(ISNUMBER((AY17+AZ17)/BA17),(AY17+AZ17)/BA17," - ")</f>
        <v>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2787</v>
      </c>
      <c r="J18" s="184">
        <f t="shared" si="15"/>
        <v>471</v>
      </c>
      <c r="K18" s="184">
        <f t="shared" si="15"/>
        <v>502</v>
      </c>
      <c r="L18" s="184">
        <f t="shared" si="15"/>
        <v>2753</v>
      </c>
      <c r="M18" s="184">
        <f t="shared" si="15"/>
        <v>92</v>
      </c>
      <c r="N18" s="184">
        <f t="shared" si="15"/>
        <v>285</v>
      </c>
      <c r="O18" s="184">
        <f t="shared" si="15"/>
        <v>6</v>
      </c>
      <c r="P18" s="184">
        <f t="shared" si="15"/>
        <v>21</v>
      </c>
      <c r="Q18" s="184">
        <f t="shared" si="15"/>
        <v>13</v>
      </c>
      <c r="R18" s="184">
        <f t="shared" si="15"/>
        <v>205</v>
      </c>
      <c r="S18" s="184">
        <f t="shared" si="15"/>
        <v>1708</v>
      </c>
      <c r="T18" s="184">
        <f t="shared" si="15"/>
        <v>723</v>
      </c>
      <c r="U18" s="184">
        <f t="shared" si="15"/>
        <v>642</v>
      </c>
      <c r="V18" s="184">
        <f t="shared" si="15"/>
        <v>1881</v>
      </c>
      <c r="W18" s="184">
        <f t="shared" si="15"/>
        <v>118</v>
      </c>
      <c r="X18" s="184">
        <f t="shared" si="15"/>
        <v>387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1708</v>
      </c>
      <c r="AZ18" s="184">
        <f>SUBTOTAL(9,AZ14:AZ17)</f>
        <v>723</v>
      </c>
      <c r="BA18" s="184">
        <f>SUBTOTAL(9,BA14:BA17)</f>
        <v>642</v>
      </c>
      <c r="BB18" s="184">
        <f>SUBTOTAL(9,BB14:BB17)</f>
        <v>1881</v>
      </c>
      <c r="BC18" s="184">
        <f>SUBTOTAL(9,BC14:BC17)</f>
        <v>118</v>
      </c>
      <c r="BD18" s="205">
        <f>IF(ISNUMBER(BA18/AZ18),BA18/AZ18," - ")</f>
        <v>0.88796680497925307</v>
      </c>
      <c r="BE18" s="206">
        <f>IF(ISNUMBER(BB18/BA18),BB18/BA18, " - ")</f>
        <v>2.9299065420560746</v>
      </c>
      <c r="BF18" s="206">
        <f>IF(ISNUMBER(BC18/BA18),BC18/BA18, " - ")</f>
        <v>0.18380062305295949</v>
      </c>
      <c r="BG18" s="207">
        <f>IF(ISNUMBER((AY18+AZ18)/BA18),(AY18+AZ18)/BA18," - ")</f>
        <v>3.7866043613707165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8996</v>
      </c>
      <c r="J19" s="134">
        <f t="shared" si="18"/>
        <v>1151</v>
      </c>
      <c r="K19" s="134">
        <f t="shared" si="18"/>
        <v>1163</v>
      </c>
      <c r="L19" s="134">
        <f t="shared" si="18"/>
        <v>8983</v>
      </c>
      <c r="M19" s="134">
        <f t="shared" si="18"/>
        <v>246</v>
      </c>
      <c r="N19" s="134">
        <f t="shared" si="18"/>
        <v>602</v>
      </c>
      <c r="O19" s="134">
        <f t="shared" si="18"/>
        <v>329</v>
      </c>
      <c r="P19" s="134">
        <f t="shared" si="18"/>
        <v>189</v>
      </c>
      <c r="Q19" s="134">
        <f t="shared" si="18"/>
        <v>63</v>
      </c>
      <c r="R19" s="134">
        <f t="shared" si="18"/>
        <v>6274</v>
      </c>
      <c r="S19" s="134">
        <f t="shared" si="18"/>
        <v>6752</v>
      </c>
      <c r="T19" s="134">
        <f t="shared" si="18"/>
        <v>1950</v>
      </c>
      <c r="U19" s="134">
        <f t="shared" si="18"/>
        <v>1499</v>
      </c>
      <c r="V19" s="134">
        <f t="shared" si="18"/>
        <v>7234</v>
      </c>
      <c r="W19" s="134">
        <f t="shared" si="18"/>
        <v>338</v>
      </c>
      <c r="X19" s="134">
        <f t="shared" si="18"/>
        <v>728</v>
      </c>
      <c r="Y19" s="134">
        <f t="shared" si="18"/>
        <v>249</v>
      </c>
      <c r="Z19" s="134">
        <f t="shared" si="18"/>
        <v>294</v>
      </c>
      <c r="AA19" s="134">
        <f t="shared" si="18"/>
        <v>231</v>
      </c>
      <c r="AB19" s="134">
        <f t="shared" si="18"/>
        <v>312</v>
      </c>
      <c r="AC19" s="134">
        <f t="shared" si="18"/>
        <v>0</v>
      </c>
      <c r="AD19" s="134">
        <f t="shared" si="18"/>
        <v>0</v>
      </c>
      <c r="AE19" s="134">
        <f t="shared" si="18"/>
        <v>0</v>
      </c>
      <c r="AF19" s="134">
        <f t="shared" si="18"/>
        <v>0</v>
      </c>
      <c r="AG19" s="134">
        <f t="shared" si="18"/>
        <v>161</v>
      </c>
      <c r="AH19" s="134">
        <f t="shared" si="18"/>
        <v>127</v>
      </c>
      <c r="AI19" s="134">
        <f t="shared" si="18"/>
        <v>111</v>
      </c>
      <c r="AJ19" s="134">
        <f t="shared" si="18"/>
        <v>177</v>
      </c>
      <c r="AK19" s="134">
        <f t="shared" si="18"/>
        <v>1</v>
      </c>
      <c r="AL19" s="134">
        <f t="shared" si="18"/>
        <v>0</v>
      </c>
      <c r="AM19" s="134">
        <f t="shared" si="18"/>
        <v>0</v>
      </c>
      <c r="AN19" s="210">
        <f t="shared" si="18"/>
        <v>1</v>
      </c>
      <c r="AO19" s="211">
        <v>5</v>
      </c>
      <c r="AP19" s="211">
        <v>4</v>
      </c>
      <c r="AQ19" s="211">
        <v>4</v>
      </c>
      <c r="AR19" s="211">
        <v>4</v>
      </c>
      <c r="AS19" s="153">
        <f t="shared" si="18"/>
        <v>0</v>
      </c>
      <c r="AT19" s="153">
        <f t="shared" si="18"/>
        <v>0</v>
      </c>
      <c r="AU19" s="211"/>
      <c r="AV19" s="212"/>
      <c r="AW19" s="211"/>
      <c r="AX19" s="212"/>
      <c r="AY19" s="133">
        <f>SUBTOTAL(9,AY9:AY18)</f>
        <v>6913</v>
      </c>
      <c r="AZ19" s="134">
        <f>SUBTOTAL(9,AZ9:AZ18)</f>
        <v>2077</v>
      </c>
      <c r="BA19" s="134">
        <f>SUBTOTAL(9,BA9:BA18)</f>
        <v>1610</v>
      </c>
      <c r="BB19" s="134">
        <f>SUBTOTAL(9,BB9:BB18)</f>
        <v>7411</v>
      </c>
      <c r="BC19" s="135">
        <f>SUBTOTAL(9,BC9:BC18)</f>
        <v>459</v>
      </c>
      <c r="BD19" s="213">
        <f>IF(ISNUMBER(BA19/AZ19),BA19/AZ19," - ")</f>
        <v>0.7751564756860857</v>
      </c>
      <c r="BE19" s="210">
        <f>IF(ISNUMBER(BB19/BA19),BB19/BA19, " - ")</f>
        <v>4.6031055900621114</v>
      </c>
      <c r="BF19" s="210">
        <f>IF(ISNUMBER(BC19/BA19),BC19/BA19, " - ")</f>
        <v>0.28509316770186338</v>
      </c>
      <c r="BG19" s="135">
        <f>IF(ISNUMBER((AY19+AZ19)/BA19),(AY19+AZ19)/BA19," - ")</f>
        <v>5.5838509316770191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wzIpIWfamXjNzOn8dw7PaZhmuiOX1L67H1pPBq2o50tQTJN9AtpKKQLgMQ8yPmr46p1vIJ+CFqHRCByEbWcQ==" saltValue="ByLjvsLK20Vu4lcB5GxAK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746dT96PoiPoMLKNLm2pewk5KD1a3S38sXLbFAxVnaLzwF5QdFkARjG5UNxsuUjqoEUI1VVhVx3vz6vn0O62A==" saltValue="65jnr0s69f/Or2Vum5EJV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VILA JOIOSA, LA-VILLAJOYOSA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8</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294</v>
      </c>
      <c r="O12" s="334"/>
      <c r="P12" s="334"/>
      <c r="Q12" s="226">
        <f>IF(ISNUMBER(Datos!P12),Datos!P12,0)</f>
        <v>168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312</v>
      </c>
      <c r="AI12" s="334" t="str">
        <f>IF(ISNUMBER(Datos!CD12),Datos!CD12,"-")</f>
        <v>-</v>
      </c>
      <c r="AJ12" s="334" t="str">
        <f>IF(ISNUMBER(Datos!EN12),Datos!EN12," - ")</f>
        <v xml:space="preserve"> - </v>
      </c>
      <c r="AK12" s="334"/>
      <c r="AL12" s="479"/>
      <c r="AM12" s="335">
        <f>IF(ISNUMBER(Datos!R12),Datos!R12," - ")</f>
        <v>6068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153</v>
      </c>
      <c r="BD12" s="229">
        <f>IF(ISNUMBER(Datos!N12),Datos!N12," - ")</f>
        <v>317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0.91572456320657758</v>
      </c>
      <c r="BH12" s="260">
        <f>IF(ISNUMBER(((IF(J_V="SI",Datos!L12/Datos!K12,(Datos!L12+Datos!AB12)/(Datos!K12+Datos!AA12)))*11)/factor_trimestre),((IF(J_V="SI",Datos!L12/Datos!K12,(Datos!L12+Datos!AB12)/(Datos!K12+Datos!AA12)))*11)/factor_trimestre," - ")</f>
        <v>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1.9831932773109243E-2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294</v>
      </c>
      <c r="O13" s="900">
        <f t="shared" si="0"/>
        <v>0</v>
      </c>
      <c r="P13" s="900">
        <f t="shared" si="0"/>
        <v>0</v>
      </c>
      <c r="Q13" s="899">
        <f t="shared" si="0"/>
        <v>168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50</v>
      </c>
      <c r="AD13" s="899">
        <f t="shared" si="1"/>
        <v>0</v>
      </c>
      <c r="AE13" s="899">
        <f t="shared" si="1"/>
        <v>0</v>
      </c>
      <c r="AF13" s="899">
        <f t="shared" si="1"/>
        <v>8</v>
      </c>
      <c r="AG13" s="899">
        <f t="shared" si="1"/>
        <v>0</v>
      </c>
      <c r="AH13" s="899">
        <f t="shared" si="1"/>
        <v>312</v>
      </c>
      <c r="AI13" s="899">
        <f t="shared" si="1"/>
        <v>0</v>
      </c>
      <c r="AJ13" s="899">
        <f t="shared" si="1"/>
        <v>0</v>
      </c>
      <c r="AK13" s="899">
        <f t="shared" si="1"/>
        <v>0</v>
      </c>
      <c r="AL13" s="899">
        <f t="shared" si="1"/>
        <v>0</v>
      </c>
      <c r="AM13" s="899">
        <f t="shared" si="1"/>
        <v>6069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154</v>
      </c>
      <c r="BD13" s="899">
        <f t="shared" si="1"/>
        <v>317</v>
      </c>
      <c r="BE13" s="899">
        <f t="shared" si="1"/>
        <v>0</v>
      </c>
      <c r="BF13" s="899">
        <f t="shared" si="1"/>
        <v>0</v>
      </c>
      <c r="BG13" s="899">
        <f>IF(ISNUMBER(Datos!K13/Datos!J13),Datos!K13/Datos!J13," - ")</f>
        <v>0.97205882352941175</v>
      </c>
      <c r="BH13" s="903">
        <f>IF(ISNUMBER(((Datos!L13/Datos!K13)*11)/factor_trimestre),((Datos!L13/Datos!K13)*11)/factor_trimestre," - ")</f>
        <v>28.275340393343416</v>
      </c>
      <c r="BI13" s="899">
        <f>IF(ISNUMBER('Resol  Asuntos'!D13/NºAsuntos!G13),'Resol  Asuntos'!D13/NºAsuntos!G13," - ")</f>
        <v>0.1726457399103139</v>
      </c>
      <c r="BJ13" s="899" t="str">
        <f>IF(ISNUMBER(Datos!CI13/Datos!CJ13),Datos!CI13/Datos!CJ13," - ")</f>
        <v xml:space="preserve"> - </v>
      </c>
      <c r="BK13" s="899">
        <f>SUBTOTAL(9,BK8:BK12)</f>
        <v>0</v>
      </c>
      <c r="BL13" s="899">
        <f>IF(ISNUMBER((I13-AB13+L13)/(F13)),(I13-AB13+L13)/(F13)," - ")</f>
        <v>-0.125</v>
      </c>
      <c r="BM13" s="904">
        <f>SUBTOTAL(9,BM9:BM12)</f>
        <v>1.9831932773109243E-2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2717</v>
      </c>
      <c r="G16" s="598">
        <f>IF(ISNUMBER(IF(D_I="SI",Datos!I16,Datos!I16+Datos!AC16)),IF(D_I="SI",Datos!I16,Datos!I16+Datos!AC16)," - ")</f>
        <v>2720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499</v>
      </c>
      <c r="AC16" s="226">
        <f>IF(ISNUMBER(Datos!Q16),Datos!Q16," - ")</f>
        <v>13</v>
      </c>
      <c r="AD16" s="334"/>
      <c r="AE16" s="484"/>
      <c r="AF16" s="596">
        <f>IF(ISNUMBER(IF(D_I="SI",Datos!L16,Datos!L16+Datos!AF16)),IF(D_I="SI",Datos!L16,Datos!L16+Datos!AF16)," - ")</f>
        <v>2689</v>
      </c>
      <c r="AG16" s="334"/>
      <c r="AH16" s="334"/>
      <c r="AI16" s="334"/>
      <c r="AJ16" s="334"/>
      <c r="AK16" s="334"/>
      <c r="AL16" s="479"/>
      <c r="AM16" s="335">
        <f>IF(ISNUMBER(Datos!R16),Datos!R16," - ")</f>
        <v>205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92</v>
      </c>
      <c r="BD16" s="229">
        <f>IF(ISNUMBER(Datos!N16),Datos!N16," - ")</f>
        <v>285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1.059447983014862</v>
      </c>
      <c r="BH16" s="260">
        <f>IF(ISNUMBER(((IF(D_I="SI",Datos!L16/Datos!K16,(Datos!L16+Datos!AF16)/(Datos!K16+Datos!AE16)))*11)/factor_trimestre),((IF(D_I="SI",Datos!L16/Datos!K16,(Datos!L16+Datos!AF16)/(Datos!K16+Datos!AE16)))*11)/factor_trimestre," - ")</f>
        <v>16.16633266533066</v>
      </c>
      <c r="BI16" s="243">
        <f>IF(ISNUMBER('Resol  Asuntos'!D16/NºAsuntos!G16),'Resol  Asuntos'!D16/NºAsuntos!G16," - ")</f>
        <v>0.18436873747494989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64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64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2717</v>
      </c>
      <c r="G18" s="898">
        <f>SUBTOTAL(9,G15:G17)</f>
        <v>2787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502</v>
      </c>
      <c r="AC18" s="899">
        <f t="shared" si="4"/>
        <v>13</v>
      </c>
      <c r="AD18" s="899">
        <f t="shared" si="4"/>
        <v>0</v>
      </c>
      <c r="AE18" s="899">
        <f t="shared" si="4"/>
        <v>0</v>
      </c>
      <c r="AF18" s="899">
        <f t="shared" si="4"/>
        <v>2753</v>
      </c>
      <c r="AG18" s="899">
        <f t="shared" si="4"/>
        <v>0</v>
      </c>
      <c r="AH18" s="899">
        <f t="shared" si="4"/>
        <v>0</v>
      </c>
      <c r="AI18" s="899">
        <f t="shared" si="4"/>
        <v>0</v>
      </c>
      <c r="AJ18" s="899">
        <f t="shared" si="4"/>
        <v>0</v>
      </c>
      <c r="AK18" s="899">
        <f t="shared" si="4"/>
        <v>0</v>
      </c>
      <c r="AL18" s="899">
        <f t="shared" si="4"/>
        <v>0</v>
      </c>
      <c r="AM18" s="899">
        <f t="shared" si="4"/>
        <v>205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92</v>
      </c>
      <c r="BD18" s="899">
        <f t="shared" si="4"/>
        <v>285</v>
      </c>
      <c r="BE18" s="899">
        <f t="shared" si="4"/>
        <v>0</v>
      </c>
      <c r="BF18" s="899">
        <f t="shared" si="4"/>
        <v>0</v>
      </c>
      <c r="BG18" s="899">
        <f>IF(ISNUMBER(Datos!K18/Datos!J18),Datos!K18/Datos!J18," - ")</f>
        <v>1.0658174097664543</v>
      </c>
      <c r="BH18" s="903">
        <f>IF(ISNUMBER(((Datos!L18/Datos!K18)*11)/factor_trimestre),((Datos!L18/Datos!K18)*11)/factor_trimestre," - ")</f>
        <v>16.452191235059761</v>
      </c>
      <c r="BI18" s="899">
        <f>SUBTOTAL(9,BI15:BI17)</f>
        <v>0.18436873747494989</v>
      </c>
      <c r="BJ18" s="899">
        <f>SUBTOTAL(9,BJ15:BJ17)</f>
        <v>0</v>
      </c>
      <c r="BK18" s="899">
        <f>SUBTOTAL(9,BK15:BK17)</f>
        <v>0</v>
      </c>
      <c r="BL18" s="899">
        <f>IF(ISNUMBER((I18-AB18+L18)/(F18)),(I18-AB18+L18)/(F18)," - ")</f>
        <v>-0.1847626058152374</v>
      </c>
      <c r="BM18" s="905">
        <f>IF(ISNUMBER((Datos!P18-Datos!Q18)/(Datos!R18-Datos!P18+Datos!Q18)),(Datos!P18-Datos!Q18)/(Datos!R18-Datos!P18+Datos!Q18)," - ")</f>
        <v>4.060913705583756E-2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2725</v>
      </c>
      <c r="G19" s="820">
        <f t="shared" si="6"/>
        <v>2795</v>
      </c>
      <c r="H19" s="822">
        <f t="shared" si="6"/>
        <v>0</v>
      </c>
      <c r="I19" s="820">
        <f t="shared" si="6"/>
        <v>0</v>
      </c>
      <c r="J19" s="822">
        <f t="shared" si="6"/>
        <v>0</v>
      </c>
      <c r="K19" s="822">
        <f t="shared" si="6"/>
        <v>0</v>
      </c>
      <c r="L19" s="881">
        <f t="shared" si="6"/>
        <v>0</v>
      </c>
      <c r="M19" s="881">
        <f t="shared" si="6"/>
        <v>0</v>
      </c>
      <c r="N19" s="881">
        <f t="shared" si="6"/>
        <v>294</v>
      </c>
      <c r="O19" s="881">
        <f t="shared" si="6"/>
        <v>0</v>
      </c>
      <c r="P19" s="881">
        <f t="shared" si="6"/>
        <v>0</v>
      </c>
      <c r="Q19" s="822">
        <f t="shared" si="6"/>
        <v>189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503</v>
      </c>
      <c r="AC19" s="821">
        <f t="shared" si="7"/>
        <v>63</v>
      </c>
      <c r="AD19" s="821">
        <f t="shared" si="7"/>
        <v>0</v>
      </c>
      <c r="AE19" s="821">
        <f t="shared" si="7"/>
        <v>0</v>
      </c>
      <c r="AF19" s="828">
        <f t="shared" si="7"/>
        <v>2761</v>
      </c>
      <c r="AG19" s="828">
        <f t="shared" si="7"/>
        <v>0</v>
      </c>
      <c r="AH19" s="828">
        <f t="shared" si="7"/>
        <v>312</v>
      </c>
      <c r="AI19" s="828">
        <f t="shared" si="7"/>
        <v>0</v>
      </c>
      <c r="AJ19" s="821">
        <f t="shared" si="7"/>
        <v>0</v>
      </c>
      <c r="AK19" s="828">
        <f t="shared" si="7"/>
        <v>0</v>
      </c>
      <c r="AL19" s="828">
        <f t="shared" si="7"/>
        <v>0</v>
      </c>
      <c r="AM19" s="828">
        <f t="shared" si="7"/>
        <v>6274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246</v>
      </c>
      <c r="BD19" s="820">
        <f t="shared" si="7"/>
        <v>602</v>
      </c>
      <c r="BE19" s="820">
        <f t="shared" si="7"/>
        <v>0</v>
      </c>
      <c r="BF19" s="830">
        <f t="shared" si="7"/>
        <v>0</v>
      </c>
      <c r="BG19" s="915">
        <f>IF(ISNUMBER(Datos!K19/Datos!J19),Datos!K19/Datos!J19," - ")</f>
        <v>1.0104257167680277</v>
      </c>
      <c r="BH19" s="915">
        <f>IF(ISNUMBER(((Datos!L19/Datos!K19)*11)/factor_trimestre),((Datos!L19/Datos!K19)*11)/factor_trimestre," - ")</f>
        <v>23.171969045571799</v>
      </c>
      <c r="BI19" s="813">
        <f>IF(ISNUMBER(Datos!J19/Datos!I19),Datos!J19/Datos!I19," - ")</f>
        <v>0.12794575366829702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-0.18458715596330275</v>
      </c>
      <c r="BM19" s="889">
        <f>IF(ISNUMBER((Datos!P19-Datos!Q19+R19)/(Datos!R19-Datos!P19+Datos!Q19-R19)),(Datos!P19-Datos!Q19+R19)/(Datos!R19-Datos!P19+Datos!Q19-R19)," - ")</f>
        <v>2.0494469746258945E-2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1118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1564.0418792346961</v>
      </c>
      <c r="G21" s="552">
        <f>IF(ISNUMBER(STDEV(G8:G18)),STDEV(G8:G18),"-")</f>
        <v>1493.3825698728374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273.22554785378327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68.86218120274728</v>
      </c>
      <c r="BD21" s="551"/>
      <c r="BE21" s="551">
        <f>IF(ISNUMBER(STDEV(BE8:BE18)),STDEV(BE8:BE18),"-")</f>
        <v>0</v>
      </c>
      <c r="BF21" s="556">
        <f>IF(ISNUMBER(STDEV(BF8:BF18)),STDEV(BF8:BF18),"-")</f>
        <v>0</v>
      </c>
      <c r="BG21" s="775">
        <f>IF(ISNUMBER(STDEV(BG8:BG18)),STDEV(BG8:BG18),"-")</f>
        <v>6.2679738697614881E-2</v>
      </c>
      <c r="BH21" s="776">
        <f>IF(ISNUMBER(STDEV(BH8:BH18)),STDEV(BH8:BH18),"-")</f>
        <v>18.000375776261084</v>
      </c>
      <c r="BI21" s="249">
        <f>IF(ISNUMBER(STDEV(BI8:BI18)),STDEV(BI8:BI18),"-")</f>
        <v>9.0399608945132534E-2</v>
      </c>
      <c r="BJ21" s="230" t="str">
        <f>IF(ISNUMBER(BL21/BM21),BL21/BM21," - ")</f>
        <v xml:space="preserve"> - </v>
      </c>
      <c r="BK21" s="575"/>
      <c r="BL21" s="559">
        <f>IF(ISNUMBER(STDEV(BL8:BL18)),STDEV(BL8:BL18),"-")</f>
        <v>4.2258543833332919E-2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Y7xHsRidjs6QGSL3O9LRqwzrjuDdmXT4HIkKPytdxw7o7m0Xgk9Ac0anH0MElU0dAB9dp4itPfCTHlAPYr8AQ==" saltValue="pty5mq74jhfok52jFoa4m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VILA JOIOSA, LA-VILLAJOYOSA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8</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50</v>
      </c>
      <c r="AA12" s="332" t="str">
        <f>IF(ISNUMBER(IF(J_V="SI",Datos!L12,Datos!L12+Datos!AB12)-IF(Monitorios="SI",Datos!CD12,0)),
                          IF(J_V="SI",Datos!L12,Datos!L12+Datos!AB12)-IF(Monitorios="SI",Datos!CD12,0),
                          " - ")</f>
        <v xml:space="preserve"> - </v>
      </c>
      <c r="AB12" s="334"/>
      <c r="AC12" s="334"/>
      <c r="AD12" s="484"/>
      <c r="AE12" s="484">
        <f>IF(ISNUMBER(Datos!R12),Datos!R12," - ")</f>
        <v>6068</v>
      </c>
      <c r="AF12" s="229" t="str">
        <f>IF(ISNUMBER(Datos!BV12),Datos!BV12," - ")</f>
        <v xml:space="preserve"> - </v>
      </c>
      <c r="AG12" s="225" t="str">
        <f>IF(ISNUMBER(Datos!DV12),Datos!DV12," - ")</f>
        <v xml:space="preserve"> - </v>
      </c>
      <c r="AH12" s="298"/>
      <c r="AI12" s="227"/>
      <c r="AJ12" s="225">
        <f>IF(ISNUMBER(Datos!M12),Datos!M12," - ")</f>
        <v>153</v>
      </c>
      <c r="AK12" s="229">
        <f>IF(ISNUMBER(Datos!N12),Datos!N12," - ")</f>
        <v>317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1.9831932773109243E-2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50</v>
      </c>
      <c r="AA13" s="900">
        <f t="shared" si="2"/>
        <v>8</v>
      </c>
      <c r="AB13" s="900">
        <f t="shared" si="2"/>
        <v>0</v>
      </c>
      <c r="AC13" s="900">
        <f t="shared" si="2"/>
        <v>0</v>
      </c>
      <c r="AD13" s="900">
        <f t="shared" si="2"/>
        <v>0</v>
      </c>
      <c r="AE13" s="900">
        <f t="shared" si="2"/>
        <v>6069</v>
      </c>
      <c r="AF13" s="908">
        <f t="shared" si="2"/>
        <v>0</v>
      </c>
      <c r="AG13" s="908">
        <f t="shared" si="2"/>
        <v>0</v>
      </c>
      <c r="AH13" s="908">
        <f t="shared" si="2"/>
        <v>0</v>
      </c>
      <c r="AI13" s="908">
        <f t="shared" si="2"/>
        <v>0</v>
      </c>
      <c r="AJ13" s="908">
        <f t="shared" si="2"/>
        <v>154</v>
      </c>
      <c r="AK13" s="908">
        <f t="shared" si="2"/>
        <v>317</v>
      </c>
      <c r="AL13" s="908">
        <f t="shared" si="2"/>
        <v>0</v>
      </c>
      <c r="AM13" s="908">
        <f t="shared" si="2"/>
        <v>0</v>
      </c>
      <c r="AN13" s="908">
        <f t="shared" si="2"/>
        <v>0</v>
      </c>
      <c r="AO13" s="904">
        <f>IF(ISNUMBER(((NºAsuntos!I13/NºAsuntos!G13)*11)/factor_trimestre),((NºAsuntos!I13/NºAsuntos!G13)*11)/factor_trimestre," - ")</f>
        <v>22.002242152466369</v>
      </c>
      <c r="AP13" s="910" t="str">
        <f>IF(ISNUMBER(Datos!CI13/Datos!CJ13),Datos!CI13/Datos!CJ13," - ")</f>
        <v xml:space="preserve"> - </v>
      </c>
      <c r="AQ13" s="928">
        <f t="shared" ref="AQ13:AV13" si="3">SUBTOTAL(9,AQ9:AQ12)</f>
        <v>0</v>
      </c>
      <c r="AR13" s="928">
        <f t="shared" si="3"/>
        <v>1.9831932773109243E-2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2717</v>
      </c>
      <c r="G16" s="225">
        <f>IF(ISNUMBER(IF(D_I="SI",Datos!I16,Datos!I16+Datos!AC16)),IF(D_I="SI",Datos!I16,Datos!I16+Datos!AC16)," - ")</f>
        <v>2720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499</v>
      </c>
      <c r="Z16" s="619">
        <f>IF(ISNUMBER(Datos!Q16),Datos!Q16," - ")</f>
        <v>13</v>
      </c>
      <c r="AA16" s="332">
        <f>IF(ISNUMBER(IF(D_I="SI",Datos!L16,Datos!L16+Datos!AF16)),IF(D_I="SI",Datos!L16,Datos!L16+Datos!AF16)," - ")</f>
        <v>2689</v>
      </c>
      <c r="AB16" s="334"/>
      <c r="AC16" s="334"/>
      <c r="AD16" s="484"/>
      <c r="AE16" s="484">
        <f>IF(ISNUMBER(Datos!R16),Datos!R16," - ")</f>
        <v>205</v>
      </c>
      <c r="AF16" s="229" t="str">
        <f>IF(ISNUMBER(Datos!BV16),Datos!BV16," - ")</f>
        <v xml:space="preserve"> - </v>
      </c>
      <c r="AG16" s="225"/>
      <c r="AH16" s="298"/>
      <c r="AI16" s="227"/>
      <c r="AJ16" s="225">
        <f>IF(ISNUMBER(Datos!M16),Datos!M16," - ")</f>
        <v>92</v>
      </c>
      <c r="AK16" s="229">
        <f>IF(ISNUMBER(Datos!N16),Datos!N16," - ")</f>
        <v>285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16.16633266533066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64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2717</v>
      </c>
      <c r="G18" s="898">
        <f>SUBTOTAL(9,G15:G17)</f>
        <v>2787</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502</v>
      </c>
      <c r="Z18" s="932">
        <f t="shared" si="5"/>
        <v>13</v>
      </c>
      <c r="AA18" s="932">
        <f t="shared" si="5"/>
        <v>2753</v>
      </c>
      <c r="AB18" s="932">
        <f t="shared" si="5"/>
        <v>0</v>
      </c>
      <c r="AC18" s="932">
        <f t="shared" si="5"/>
        <v>0</v>
      </c>
      <c r="AD18" s="932">
        <f t="shared" si="5"/>
        <v>0</v>
      </c>
      <c r="AE18" s="932">
        <f t="shared" si="5"/>
        <v>205</v>
      </c>
      <c r="AF18" s="932">
        <f t="shared" si="5"/>
        <v>0</v>
      </c>
      <c r="AG18" s="932">
        <f t="shared" si="5"/>
        <v>0</v>
      </c>
      <c r="AH18" s="932">
        <f t="shared" si="5"/>
        <v>0</v>
      </c>
      <c r="AI18" s="932">
        <f t="shared" si="5"/>
        <v>0</v>
      </c>
      <c r="AJ18" s="932">
        <f t="shared" si="5"/>
        <v>92</v>
      </c>
      <c r="AK18" s="932">
        <f t="shared" si="5"/>
        <v>285</v>
      </c>
      <c r="AL18" s="932">
        <f t="shared" si="5"/>
        <v>0</v>
      </c>
      <c r="AM18" s="932">
        <f t="shared" si="5"/>
        <v>0</v>
      </c>
      <c r="AN18" s="932">
        <f t="shared" si="5"/>
        <v>0</v>
      </c>
      <c r="AO18" s="934">
        <f>IF(ISNUMBER(((NºAsuntos!I18/NºAsuntos!G18)*11)/factor_trimestre),((NºAsuntos!I18/NºAsuntos!G18)*11)/factor_trimestre," - ")</f>
        <v>16.452191235059761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2725</v>
      </c>
      <c r="G19" s="820">
        <f t="shared" si="7"/>
        <v>2795</v>
      </c>
      <c r="H19" s="821">
        <f t="shared" si="7"/>
        <v>0</v>
      </c>
      <c r="I19" s="820">
        <f t="shared" si="7"/>
        <v>0</v>
      </c>
      <c r="J19" s="822">
        <f t="shared" si="7"/>
        <v>0</v>
      </c>
      <c r="K19" s="820">
        <f t="shared" si="7"/>
        <v>0</v>
      </c>
      <c r="L19" s="823">
        <f t="shared" si="7"/>
        <v>0</v>
      </c>
      <c r="M19" s="820">
        <f t="shared" si="7"/>
        <v>0</v>
      </c>
      <c r="N19" s="821">
        <f t="shared" si="7"/>
        <v>189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503</v>
      </c>
      <c r="Z19" s="827">
        <f t="shared" si="8"/>
        <v>63</v>
      </c>
      <c r="AA19" s="828">
        <f t="shared" si="8"/>
        <v>2761</v>
      </c>
      <c r="AB19" s="828">
        <f t="shared" si="8"/>
        <v>0</v>
      </c>
      <c r="AC19" s="828">
        <f t="shared" si="8"/>
        <v>0</v>
      </c>
      <c r="AD19" s="829">
        <f t="shared" si="8"/>
        <v>0</v>
      </c>
      <c r="AE19" s="829">
        <f t="shared" si="8"/>
        <v>6274</v>
      </c>
      <c r="AF19" s="830">
        <f t="shared" si="8"/>
        <v>0</v>
      </c>
      <c r="AG19" s="831">
        <f t="shared" si="8"/>
        <v>0</v>
      </c>
      <c r="AH19" s="832">
        <f t="shared" si="8"/>
        <v>0</v>
      </c>
      <c r="AI19" s="830">
        <f t="shared" si="8"/>
        <v>0</v>
      </c>
      <c r="AJ19" s="820">
        <f t="shared" si="8"/>
        <v>246</v>
      </c>
      <c r="AK19" s="820">
        <f t="shared" si="8"/>
        <v>602</v>
      </c>
      <c r="AL19" s="820">
        <f t="shared" si="8"/>
        <v>0</v>
      </c>
      <c r="AM19" s="833">
        <f t="shared" si="8"/>
        <v>0</v>
      </c>
      <c r="AN19" s="823">
        <f>IF(ISNUMBER(Datos!K19/Datos!J19),Datos!K19/Datos!J19," - ")</f>
        <v>1.0104257167680277</v>
      </c>
      <c r="AO19" s="823">
        <f>IF(ISNUMBER(FIND("06",Criterios!A8,1)),(IF(ISNUMBER(((Datos!R19/Datos!Q19)*11)/factor_trimestre),((Datos!R19/Datos!Q19)*11)/factor_trimestre," - ")),(IF(ISNUMBER(((Datos!L19/Datos!K19)*11)/factor_trimestre),((Datos!L19/Datos!K19)*11)/factor_trimestre," - ")))</f>
        <v>23.171969045571799</v>
      </c>
      <c r="AP19" s="834" t="str">
        <f>IF(ISNUMBER(Datos!CI19/Datos!CJ19),Datos!CI19/Datos!CJ19," - ")</f>
        <v xml:space="preserve"> - </v>
      </c>
      <c r="AQ19" s="834">
        <f>IF(OR(ISNUMBER(FIND("01",Criterios!A8,1)),ISNUMBER(FIND("02",Criterios!A8,1)),ISNUMBER(FIND("03",Criterios!A8,1)),ISNUMBER(FIND("04",Criterios!A8,1))),(J19-Y19+K19)/(F19-K19),(I19-Y19+K19)/(F19-K19))</f>
        <v>-0.18458715596330275</v>
      </c>
      <c r="AR19" s="834">
        <f>IF(ISNUMBER((Datos!P19-Datos!Q19+O19)/(Datos!R19-Datos!P19+Datos!Q19-O19)),(Datos!P19-Datos!Q19+O19)/(Datos!R19-Datos!P19+Datos!Q19-O19)," - ")</f>
        <v>2.0494469746258945E-2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1118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1564.0418792346961</v>
      </c>
      <c r="G21" s="552">
        <f>IF(ISNUMBER(STDEV(G8:G18)),STDEV(G8:G18),"-")</f>
        <v>1493.3825698728374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68.86218120274728</v>
      </c>
      <c r="AK21" s="252"/>
      <c r="AL21" s="252">
        <f>IF(ISNUMBER(STDEV(AL8:AL18)),STDEV(AL8:AL18),"-")</f>
        <v>0</v>
      </c>
      <c r="AM21" s="254">
        <f>IF(ISNUMBER(STDEV(AM8:AM18)),STDEV(AM8:AM18),"-")</f>
        <v>0</v>
      </c>
      <c r="AN21" s="539">
        <f>IF(ISNUMBER(STDEV(AN8:AN18)),STDEV(AN8:AN18),"-")</f>
        <v>0</v>
      </c>
      <c r="AO21" s="540">
        <f>IF(ISNUMBER(STDEV(AO8:AO18)),STDEV(AO8:AO18),"-")</f>
        <v>18.195919682053162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ngZUgcXfW9rZA5MA5qCw4PIgfZguxrOqMqj0Y2PiuPCBxUQ27KLGyAq3WgTtU670FVaxIBq3OcudRd9urMBipg==" saltValue="q8vWGgHLo4fSs+kjX/KC+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IVTPhpLoUb0DvURyymgoPrCi31mfEor4nnvS737BZ22W+kqQoYh7Xem/K/dTwSCS59dTSRMZ6/nr94Z1l/POQ==" saltValue="joHC3oIJETX+dnIWV9Lk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8XNdph3Ietbc2EiWBoq7KEqbSQppPuUzq59wAteCgPdviy9HlpD+hE8bZSCaYQhpf9S+sBp5U89ZCih8R56kg==" saltValue="RxxuGzqqP6L1Gd/AAJxsA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VILA JOIOSA, LA-VILLAJOYOSA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0.1726457399103139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0.12207897343355192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hF7/5SNlHDyfAc4ccyleQR58rd/EuZTn8GZnrldHQg1R/04Q3fe+iOCYA/ni/xoppIJsg4WBkJxSJsNajOJyA==" saltValue="6wJNgyfUH/QYleVVxTn+0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eUsbvPlSb8fDBD5rIZN+bP3Y08gmkVSmj4pNh5D9obJcjMgB6GZa6s2xDww0ShcxC2l4iBs6oPNzbvZZYfECGw==" saltValue="/wSSbi241iBwDVg3QtM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VILA JOIOSA, LA-VILLAJOYOSA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1</v>
      </c>
      <c r="F10" s="404">
        <f>IF(ISNUMBER(E10/B10),E10/B10," - ")</f>
        <v>1</v>
      </c>
      <c r="G10" s="403">
        <f>IF(ISNUMBER(Datos!K10),Datos!K10," - ")</f>
        <v>1</v>
      </c>
      <c r="H10" s="404">
        <f>IF(ISNUMBER(G10/B10),G10/B10," - ")</f>
        <v>1</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6450</v>
      </c>
      <c r="D12" s="404">
        <f>IF(ISNUMBER(C12/Datos!BH12),C12/Datos!BH12," - ")</f>
        <v>1612.5</v>
      </c>
      <c r="E12" s="403">
        <f>IF(ISNUMBER(IF(J_V="SI",Datos!J12,Datos!J12+Datos!Z12)),IF(J_V="SI",Datos!J12,Datos!J12+Datos!Z12)," - ")</f>
        <v>973</v>
      </c>
      <c r="F12" s="404">
        <f>IF(ISNUMBER(E12/B12),E12/B12," - ")</f>
        <v>243.25</v>
      </c>
      <c r="G12" s="403">
        <f>IF(ISNUMBER(IF(J_V="SI",Datos!K12,Datos!K12+Datos!AA12)),IF(J_V="SI",Datos!K12,Datos!K12+Datos!AA12)," - ")</f>
        <v>891</v>
      </c>
      <c r="H12" s="404">
        <f>IF(ISNUMBER(G12/B12),G12/B12," - ")</f>
        <v>222.75</v>
      </c>
      <c r="I12" s="403">
        <f>IF(ISNUMBER(IF(J_V="SI",Datos!L12,Datos!L12+Datos!AB12)),IF(J_V="SI",Datos!L12,Datos!L12+Datos!AB12)," - ")</f>
        <v>6534</v>
      </c>
      <c r="J12" s="404">
        <f>IF(ISNUMBER(I12/B12),I12/B12," - ")</f>
        <v>1633.5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6458</v>
      </c>
      <c r="D13" s="850" t="str">
        <f>IF(ISNUMBER(C13/Datos!BI13),C13/Datos!BI13," - ")</f>
        <v xml:space="preserve"> - </v>
      </c>
      <c r="E13" s="849">
        <f>SUBTOTAL(9,E8:E12)</f>
        <v>974</v>
      </c>
      <c r="F13" s="850">
        <f>IF(ISNUMBER(E13/B13),E13/B13," - ")</f>
        <v>243.5</v>
      </c>
      <c r="G13" s="849">
        <f>SUBTOTAL(9,G8:G12)</f>
        <v>892</v>
      </c>
      <c r="H13" s="850">
        <f>IF(ISNUMBER(G13/B13),G13/B13," - ")</f>
        <v>223</v>
      </c>
      <c r="I13" s="849">
        <f>SUBTOTAL(9,I8:I12)</f>
        <v>6542</v>
      </c>
      <c r="J13" s="850">
        <f>IF(ISNUMBER(I13/B13),I13/B13," - ")</f>
        <v>1635.5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2720</v>
      </c>
      <c r="D16" s="404">
        <f>IF(ISNUMBER(C16/Datos!BH16),C16/Datos!BH16," - ")</f>
        <v>680</v>
      </c>
      <c r="E16" s="403">
        <f>IF(ISNUMBER(IF(D_I="SI",Datos!J16,Datos!J16+Datos!AD16)),IF(D_I="SI",Datos!J16,Datos!J16+Datos!AD16)," - ")</f>
        <v>471</v>
      </c>
      <c r="F16" s="404">
        <f>IF(ISNUMBER(E16/B16),E16/B16," - ")</f>
        <v>117.75</v>
      </c>
      <c r="G16" s="403">
        <f>IF(ISNUMBER(IF(D_I="SI",Datos!K16,Datos!K16+Datos!AE16)),IF(D_I="SI",Datos!K16,Datos!K16+Datos!AE16)," - ")</f>
        <v>499</v>
      </c>
      <c r="H16" s="404">
        <f>IF(ISNUMBER(G16/B16),G16/B16," - ")</f>
        <v>124.75</v>
      </c>
      <c r="I16" s="403">
        <f>IF(ISNUMBER(IF(D_I="SI",Datos!L16,Datos!L16+Datos!AF16)),IF(D_I="SI",Datos!L16,Datos!L16+Datos!AF16)," - ")</f>
        <v>2689</v>
      </c>
      <c r="J16" s="404">
        <f>IF(ISNUMBER(I16/B16),I16/B16," - ")</f>
        <v>672.25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0</v>
      </c>
      <c r="F17" s="404">
        <f>IF(ISNUMBER(E17/B17),E17/B17," - ")</f>
        <v>0</v>
      </c>
      <c r="G17" s="403">
        <f>IF(ISNUMBER(IF(D_I="SI",Datos!K17,Datos!K17+Datos!AE17)),IF(D_I="SI",Datos!K17,Datos!K17+Datos!AE17)," - ")</f>
        <v>3</v>
      </c>
      <c r="H17" s="404">
        <f>IF(ISNUMBER(G17/B17),G17/B17," - ")</f>
        <v>3</v>
      </c>
      <c r="I17" s="403">
        <f>IF(ISNUMBER(IF(D_I="SI",Datos!L17,Datos!L17+Datos!AF17)),IF(D_I="SI",Datos!L17,Datos!L17+Datos!AF17)," - ")</f>
        <v>64</v>
      </c>
      <c r="J17" s="404">
        <f>IF(ISNUMBER(I17/B17),I17/B17," - ")</f>
        <v>64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2787</v>
      </c>
      <c r="D18" s="850" t="str">
        <f>IF(ISNUMBER(C18/Datos!BI18),C18/Datos!BI18," - ")</f>
        <v xml:space="preserve"> - </v>
      </c>
      <c r="E18" s="849">
        <f>SUBTOTAL(9,E14:E17)</f>
        <v>471</v>
      </c>
      <c r="F18" s="850">
        <f>IF(ISNUMBER(E18/B18),E18/B18," - ")</f>
        <v>117.75</v>
      </c>
      <c r="G18" s="849">
        <f>SUBTOTAL(9,G14:G17)</f>
        <v>502</v>
      </c>
      <c r="H18" s="850">
        <f>IF(ISNUMBER(G18/B18),G18/B18," - ")</f>
        <v>125.5</v>
      </c>
      <c r="I18" s="849">
        <f>SUBTOTAL(9,I14:I17)</f>
        <v>2753</v>
      </c>
      <c r="J18" s="850">
        <f>IF(ISNUMBER(I18/B18),I18/B18," - ")</f>
        <v>688.25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9245</v>
      </c>
      <c r="D19" s="795" t="str">
        <f>IF(ISNUMBER(C19/Datos!BI19),C19/Datos!BI19," - ")</f>
        <v xml:space="preserve"> - </v>
      </c>
      <c r="E19" s="794">
        <f>SUBTOTAL(9,E9:E18)</f>
        <v>1445</v>
      </c>
      <c r="F19" s="795">
        <f>IF(ISNUMBER(E19/B19),E19/B19," - ")</f>
        <v>361.25</v>
      </c>
      <c r="G19" s="794">
        <f>SUBTOTAL(9,G9:G18)</f>
        <v>1394</v>
      </c>
      <c r="H19" s="795">
        <f>IF(ISNUMBER(G19/B19),G19/B19," - ")</f>
        <v>348.5</v>
      </c>
      <c r="I19" s="794">
        <f>SUBTOTAL(9,I9:I18)</f>
        <v>9295</v>
      </c>
      <c r="J19" s="795">
        <f>IF(ISNUMBER(I19/B19),I19/B19," - ")</f>
        <v>2323.75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MGctXzN7Psl/Z3p0Em+E4ay86yQ1piyPDg97iV46mZ+V9rsIxw5iVCLr0McfedOpp/jFjZrYJvy61gsFEVT2Lw==" saltValue="xtnp9BQlRepBbddd0LWY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VILA JOIOSA, LA-VILLAJOYOSA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6068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153</v>
      </c>
      <c r="AM12" s="690">
        <f>IF(ISNUMBER(Datos!N12+DatosP!N16),Datos!N12+DatosP!N16," - ")</f>
        <v>317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1.9831932773109243E-2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50</v>
      </c>
      <c r="AE13" s="939">
        <f t="shared" si="1"/>
        <v>0</v>
      </c>
      <c r="AF13" s="939">
        <f t="shared" si="1"/>
        <v>8</v>
      </c>
      <c r="AG13" s="939">
        <f t="shared" si="1"/>
        <v>0</v>
      </c>
      <c r="AH13" s="939">
        <f t="shared" si="1"/>
        <v>6068</v>
      </c>
      <c r="AI13" s="939">
        <f t="shared" si="1"/>
        <v>0</v>
      </c>
      <c r="AJ13" s="939">
        <f t="shared" si="1"/>
        <v>0</v>
      </c>
      <c r="AK13" s="939">
        <f t="shared" si="1"/>
        <v>0</v>
      </c>
      <c r="AL13" s="939">
        <f t="shared" si="1"/>
        <v>154</v>
      </c>
      <c r="AM13" s="939">
        <f t="shared" si="1"/>
        <v>317</v>
      </c>
      <c r="AN13" s="939">
        <f t="shared" si="1"/>
        <v>0</v>
      </c>
      <c r="AO13" s="939">
        <f t="shared" si="1"/>
        <v>0</v>
      </c>
      <c r="AP13" s="944">
        <f>IF(ISNUMBER(((Datos!L13/Datos!K13)*11)/factor_trimestre),((Datos!L13/Datos!K13)*11)/factor_trimestre," - ")</f>
        <v>28.275340393343416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1.9831932773109243E-2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16.452191235059761</v>
      </c>
      <c r="AQ18" s="944">
        <f>IF(ISNUMBER(((Datos!M18/Datos!L18)*11)/factor_trimestre),((Datos!M18/Datos!L18)*11)/factor_trimestre," - ")</f>
        <v>0.10025426807119507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4.060913705583756E-2</v>
      </c>
      <c r="AW18" s="946">
        <f>IF(ISNUMBER((Datos!Q18-Datos!R18)/(Datos!S18-Datos!Q18+Datos!R18)),(Datos!Q18-Datos!R18)/(Datos!S18-Datos!Q18+Datos!R18)," - ")</f>
        <v>-0.10105263157894737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50</v>
      </c>
      <c r="AE19" s="957">
        <f t="shared" si="5"/>
        <v>0</v>
      </c>
      <c r="AF19" s="958">
        <f t="shared" si="5"/>
        <v>8</v>
      </c>
      <c r="AG19" s="958">
        <f t="shared" si="5"/>
        <v>0</v>
      </c>
      <c r="AH19" s="958">
        <f t="shared" si="5"/>
        <v>6068</v>
      </c>
      <c r="AI19" s="958">
        <f t="shared" si="5"/>
        <v>0</v>
      </c>
      <c r="AJ19" s="959">
        <f t="shared" si="5"/>
        <v>0</v>
      </c>
      <c r="AK19" s="959">
        <f t="shared" si="5"/>
        <v>0</v>
      </c>
      <c r="AL19" s="951">
        <f t="shared" si="5"/>
        <v>154</v>
      </c>
      <c r="AM19" s="951">
        <f t="shared" si="5"/>
        <v>317</v>
      </c>
      <c r="AN19" s="951">
        <f t="shared" si="5"/>
        <v>0</v>
      </c>
      <c r="AO19" s="951">
        <f t="shared" si="5"/>
        <v>0</v>
      </c>
      <c r="AP19" s="951">
        <f>IF(ISNUMBER(((Datos!L19/Datos!K19)*11)/factor_trimestre),((Datos!L19/Datos!K19)*11)/factor_trimestre," - ")</f>
        <v>23.171969045571799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2.0494469746258945E-2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88.336477931448755</v>
      </c>
      <c r="AM21" s="736"/>
      <c r="AN21" s="736">
        <f>IF(ISNUMBER(STDEV(AN8:AN18)),STDEV(AN8:AN18),"-")</f>
        <v>0</v>
      </c>
      <c r="AO21" s="742">
        <f>IF(ISNUMBER(STDEV(AO8:AO18)),STDEV(AO8:AO18),"-")</f>
        <v>0</v>
      </c>
      <c r="AP21" s="779">
        <f>IF(ISNUMBER(STDEV(AP8:AP18)),STDEV(AP8:AP18),"-")</f>
        <v>4.9091147181778201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k0HxSXEAbyDcne1B5HSrKUhEREwkUGNIR0MoRoZGrn4zsxOipYNsxAWFoGTAdNIiJf+UbFik5+OSG5m3f4z4w==" saltValue="5ljxVoAqQrPN/qyegwEQB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VILA JOIOSA, LA-VILLAJOYOSA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I1+oECBre1rgdnTQ8Hbo/qG3XvvhJgG8NUQuvleRj2tMdXQxlwCv2742WJwjoh5YWyEFAeSbRpzEuVvtzKV4g==" saltValue="aEroAOdrqUf++ZnZKfYc8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VILA JOIOSA, LA-VILLAJOYOSA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153</v>
      </c>
      <c r="E12" s="404">
        <f t="shared" si="0"/>
        <v>38.25</v>
      </c>
      <c r="F12" s="403">
        <f>IF(ISNUMBER(Datos!N12),Datos!N12," - ")</f>
        <v>317</v>
      </c>
      <c r="G12" s="404">
        <f t="shared" si="1"/>
        <v>79.25</v>
      </c>
      <c r="H12" s="403">
        <f>IF(ISNUMBER(Datos!O12),Datos!O12," - ")</f>
        <v>323</v>
      </c>
      <c r="I12" s="404">
        <f t="shared" si="2"/>
        <v>80.75</v>
      </c>
      <c r="BZ12" s="1186">
        <f>Datos!EZ12</f>
        <v>0</v>
      </c>
    </row>
    <row r="13" spans="1:78" ht="14.25" thickTop="1" thickBot="1">
      <c r="A13" s="848" t="str">
        <f>Datos!A13</f>
        <v>TOTAL</v>
      </c>
      <c r="B13" s="849">
        <f>Datos!AP13</f>
        <v>4</v>
      </c>
      <c r="C13" s="851">
        <f>Datos!AR13</f>
        <v>4</v>
      </c>
      <c r="D13" s="849">
        <f>SUBTOTAL(9,D9:D12)</f>
        <v>154</v>
      </c>
      <c r="E13" s="850">
        <f t="shared" si="0"/>
        <v>38.5</v>
      </c>
      <c r="F13" s="849">
        <f>SUBTOTAL(9,F9:F12)</f>
        <v>317</v>
      </c>
      <c r="G13" s="850">
        <f t="shared" si="1"/>
        <v>79.25</v>
      </c>
      <c r="H13" s="849">
        <f>SUBTOTAL(9,H9:H12)</f>
        <v>323</v>
      </c>
      <c r="I13" s="850">
        <f>IF(ISNUMBER(H13/B13),H13/B13," - ")</f>
        <v>80.75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92</v>
      </c>
      <c r="E16" s="404">
        <f t="shared" si="3"/>
        <v>23</v>
      </c>
      <c r="F16" s="403">
        <f>IF(ISNUMBER(Datos!N16),Datos!N16," - ")</f>
        <v>285</v>
      </c>
      <c r="G16" s="404">
        <f t="shared" si="4"/>
        <v>71.25</v>
      </c>
      <c r="H16" s="403">
        <f>IF(ISNUMBER(Datos!O16),Datos!O16," - ")</f>
        <v>6</v>
      </c>
      <c r="I16" s="404">
        <f t="shared" si="5"/>
        <v>1.5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92</v>
      </c>
      <c r="E18" s="850">
        <f t="shared" si="3"/>
        <v>23</v>
      </c>
      <c r="F18" s="849">
        <f>SUBTOTAL(9,F15:F17)</f>
        <v>285</v>
      </c>
      <c r="G18" s="850">
        <f t="shared" si="4"/>
        <v>71.25</v>
      </c>
      <c r="H18" s="849">
        <f>SUBTOTAL(9,H15:H17)</f>
        <v>6</v>
      </c>
      <c r="I18" s="850">
        <f>IF(ISNUMBER(H18/B18),H18/B18," - ")</f>
        <v>1.5</v>
      </c>
      <c r="BZ18" s="1186"/>
    </row>
    <row r="19" spans="1:78" ht="14.25" thickTop="1" thickBot="1">
      <c r="A19" s="793" t="str">
        <f>Datos!A19</f>
        <v>TOTAL JURISDICCIONES</v>
      </c>
      <c r="B19" s="794">
        <f>Datos!AP19</f>
        <v>4</v>
      </c>
      <c r="C19" s="794">
        <f>Datos!AR19</f>
        <v>4</v>
      </c>
      <c r="D19" s="794">
        <f>SUBTOTAL(9,D8:D18)</f>
        <v>246</v>
      </c>
      <c r="E19" s="795">
        <f>IF(ISNUMBER(D19/B19),D19/B19," - ")</f>
        <v>61.5</v>
      </c>
      <c r="F19" s="794">
        <f>SUBTOTAL(9,F8:F18)</f>
        <v>602</v>
      </c>
      <c r="G19" s="795">
        <f>IF(ISNUMBER(F19/B19),F19/B19," - ")</f>
        <v>150.5</v>
      </c>
      <c r="H19" s="794">
        <f>SUBTOTAL(9,H8:H18)</f>
        <v>329</v>
      </c>
      <c r="I19" s="795">
        <f>IF(ISNUMBER(H19/B19),H19/B19," - ")</f>
        <v>82.25</v>
      </c>
    </row>
    <row r="22" spans="1:78">
      <c r="A22" s="391" t="str">
        <f>Criterios!A4</f>
        <v>Fecha Informe: 03 jun. 2025</v>
      </c>
    </row>
    <row r="27" spans="1:78">
      <c r="A27" s="414"/>
    </row>
  </sheetData>
  <sheetProtection algorithmName="SHA-512" hashValue="FERHsN2m7oOlQXbxmvoOG8ysANbWssy80oyF2Kpo5Vwb3HkG0t17Yl9zUVnAUDB7BK4ZNBreVMVX0wTkOAIQPQ==" saltValue="YOfy0IjL65b77RQzscH/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VILA JOIOSA, LA-VILLAJOYOSA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168</v>
      </c>
      <c r="C12" s="434">
        <f>IF(ISNUMBER(Datos!Q12),Datos!Q12," - ")</f>
        <v>50</v>
      </c>
      <c r="D12" s="408">
        <f>IF(ISNUMBER(Datos!R12),Datos!R12," - ")</f>
        <v>6068</v>
      </c>
    </row>
    <row r="13" spans="1:4" ht="14.25" thickTop="1" thickBot="1">
      <c r="A13" s="848" t="str">
        <f>Datos!A13</f>
        <v>TOTAL</v>
      </c>
      <c r="B13" s="849">
        <f>SUBTOTAL(9,B9:B12)</f>
        <v>168</v>
      </c>
      <c r="C13" s="853">
        <f>SUBTOTAL(9,C9:C12)</f>
        <v>50</v>
      </c>
      <c r="D13" s="851">
        <f>SUBTOTAL(9,D9:D12)</f>
        <v>6069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13</v>
      </c>
      <c r="D16" s="408">
        <f>IF(ISNUMBER(Datos!R16),Datos!R16," - ")</f>
        <v>205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21</v>
      </c>
      <c r="C18" s="853">
        <f>SUBTOTAL(9,C15:C17)</f>
        <v>13</v>
      </c>
      <c r="D18" s="851">
        <f>SUBTOTAL(9,D15:D17)</f>
        <v>205</v>
      </c>
    </row>
    <row r="19" spans="1:4" ht="16.5" customHeight="1" thickTop="1" thickBot="1">
      <c r="A19" s="793" t="str">
        <f>Datos!A19</f>
        <v>TOTAL JURISDICCIONES</v>
      </c>
      <c r="B19" s="798">
        <f>SUBTOTAL(9,B8:B18)</f>
        <v>189</v>
      </c>
      <c r="C19" s="799">
        <f>SUBTOTAL(9,C8:C18)</f>
        <v>63</v>
      </c>
      <c r="D19" s="800">
        <f>SUBTOTAL(9,D8:D18)</f>
        <v>6274</v>
      </c>
    </row>
    <row r="20" spans="1:4" ht="7.5" customHeight="1"/>
    <row r="21" spans="1:4" ht="6" customHeight="1"/>
    <row r="22" spans="1:4">
      <c r="A22" s="391" t="str">
        <f>Criterios!A4</f>
        <v>Fecha Informe: 03 jun. 2025</v>
      </c>
    </row>
    <row r="27" spans="1:4">
      <c r="A27" s="414"/>
    </row>
  </sheetData>
  <sheetProtection algorithmName="SHA-512" hashValue="Jul1N7L18BYHDPIGZOwUgli6wEEhuGpsEheQ9LlAykVu78fKfeqhmnVD0ojWew0UfADUxX/peLcNSbALWGjqEg==" saltValue="mT7W3f/IHQDEe7yKthMx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VILA JOIOSA, LA-VILLAJOYOSA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v>
      </c>
      <c r="C10" s="456">
        <f>IF(ISNUMBER((Datos!J10-Datos!T10)/Datos!T10),(Datos!J10-Datos!T10)/Datos!T10," - ")</f>
        <v>0</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0.24038461538461539</v>
      </c>
      <c r="C12" s="456">
        <f>IF(ISNUMBER(
   IF(J_V="SI",(Datos!J12-Datos!T12)/Datos!T12,(Datos!J12+Datos!Z12-(Datos!T12+Datos!AH12))/(Datos!T12+Datos!AH12))
     ),IF(J_V="SI",(Datos!J12-Datos!T12)/Datos!T12,(Datos!J12+Datos!Z12-(Datos!T12+Datos!AH12))/(Datos!T12+Datos!AH12))," - ")</f>
        <v>-0.28085735402808576</v>
      </c>
      <c r="D12" s="456">
        <f>IF(ISNUMBER(
   IF(J_V="SI",(Datos!K12-Datos!U12)/Datos!U12,(Datos!K12+Datos!AA12-(Datos!U12+Datos!AI12))/(Datos!U12+Datos!AI12))
     ),IF(J_V="SI",(Datos!K12-Datos!U12)/Datos!U12,(Datos!K12+Datos!AA12-(Datos!U12+Datos!AI12))/(Datos!U12+Datos!AI12))," - ")</f>
        <v>-7.9545454545454544E-2</v>
      </c>
      <c r="E12" s="456">
        <f>IF(ISNUMBER(
   IF(J_V="SI",(Datos!L12-Datos!V12)/Datos!V12,(Datos!L12+Datos!AB12-(Datos!V12+Datos!AJ12))/(Datos!V12+Datos!AJ12))
     ),IF(J_V="SI",(Datos!L12-Datos!V12)/Datos!V12,(Datos!L12+Datos!AB12-(Datos!V12+Datos!AJ12))/(Datos!V12+Datos!AJ12))," - ")</f>
        <v>0.18283852280955828</v>
      </c>
      <c r="F12" s="456">
        <f>IF(ISNUMBER((Datos!M12-Datos!W12)/Datos!W12),(Datos!M12-Datos!W12)/Datos!W12," - ")</f>
        <v>-0.30454545454545456</v>
      </c>
      <c r="G12" s="457">
        <f>IF(ISNUMBER((Datos!N12-Datos!X12)/Datos!X12),(Datos!N12-Datos!X12)/Datos!X12," - ")</f>
        <v>-7.0381231671554259E-2</v>
      </c>
      <c r="H12" s="455">
        <f>IF(ISNUMBER(((NºAsuntos!G12/NºAsuntos!E12)-Datos!BD12)/Datos!BD12),((NºAsuntos!G12/NºAsuntos!E12)-Datos!BD12)/Datos!BD12," - ")</f>
        <v>0.27993319630010272</v>
      </c>
      <c r="I12" s="456">
        <f>IF(ISNUMBER(((NºAsuntos!I12/NºAsuntos!G12)-Datos!BE12)/Datos!BE12),((NºAsuntos!I12/NºAsuntos!G12)-Datos!BE12)/Datos!BE12," - ")</f>
        <v>0.28505913589186577</v>
      </c>
      <c r="J12" s="461">
        <f>IF(ISNUMBER((('Resol  Asuntos'!D12/NºAsuntos!G12)-Datos!BF12)/Datos!BF12),(('Resol  Asuntos'!D12/NºAsuntos!G12)-Datos!BF12)/Datos!BF12," - ")</f>
        <v>-0.51254480286738358</v>
      </c>
      <c r="K12" s="462">
        <f>IF(ISNUMBER((((NºAsuntos!C12+NºAsuntos!E12)/NºAsuntos!G12)-Datos!BG12)/Datos!BG12),(((NºAsuntos!C12+NºAsuntos!E12)/NºAsuntos!G12)-Datos!BG12)/Datos!BG12," - ")</f>
        <v>0.23065677203731019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0.24073006724303556</v>
      </c>
      <c r="C13" s="855">
        <f>IF(ISNUMBER(
   IF(J_V="SI",(Datos!J13-Datos!T13)/Datos!T13,(Datos!J13+Datos!Z13-(Datos!T13+Datos!AH13))/(Datos!T13+Datos!AH13))
     ),IF(J_V="SI",(Datos!J13-Datos!T13)/Datos!T13,(Datos!J13+Datos!Z13-(Datos!T13+Datos!AH13))/(Datos!T13+Datos!AH13))," - ")</f>
        <v>-0.28064992614475626</v>
      </c>
      <c r="D13" s="855">
        <f>IF(ISNUMBER(
   IF(J_V="SI",(Datos!K13-Datos!U13)/Datos!U13,(Datos!K13+Datos!AA13-(Datos!U13+Datos!AI13))/(Datos!U13+Datos!AI13))
     ),IF(J_V="SI",(Datos!K13-Datos!U13)/Datos!U13,(Datos!K13+Datos!AA13-(Datos!U13+Datos!AI13))/(Datos!U13+Datos!AI13))," - ")</f>
        <v>-7.8512396694214878E-2</v>
      </c>
      <c r="E13" s="855">
        <f>IF(ISNUMBER(
   IF(J_V="SI",(Datos!L13-Datos!V13)/Datos!V13,(Datos!L13+Datos!AB13-(Datos!V13+Datos!AJ13))/(Datos!V13+Datos!AJ13))
     ),IF(J_V="SI",(Datos!L13-Datos!V13)/Datos!V13,(Datos!L13+Datos!AB13-(Datos!V13+Datos!AJ13))/(Datos!V13+Datos!AJ13))," - ")</f>
        <v>0.18300180831826401</v>
      </c>
      <c r="F13" s="856">
        <f>IF(ISNUMBER((Datos!M13-Datos!W13)/Datos!W13),(Datos!M13-Datos!W13)/Datos!W13," - ")</f>
        <v>-0.3</v>
      </c>
      <c r="G13" s="857">
        <f>IF(ISNUMBER((Datos!N13-Datos!X13)/Datos!X13),(Datos!N13-Datos!X13)/Datos!X13," - ")</f>
        <v>-7.0381231671554259E-2</v>
      </c>
      <c r="H13" s="857">
        <f>IF(ISNUMBER(((NºAsuntos!G13/NºAsuntos!E13)-Datos!BD13)/Datos!BD13),((NºAsuntos!G13/NºAsuntos!E13)-Datos!BD13)/Datos!BD13," - ")</f>
        <v>0.28100022061194357</v>
      </c>
      <c r="I13" s="857">
        <f>IF(ISNUMBER(((NºAsuntos!I13/NºAsuntos!G13)-Datos!BE13)/Datos!BE13),((NºAsuntos!I13/NºAsuntos!G13)-Datos!BE13)/Datos!BE13," - ")</f>
        <v>0.28379568436331787</v>
      </c>
      <c r="J13" s="857">
        <f>IF(ISNUMBER((('Resol  Asuntos'!D13/NºAsuntos!G13)-Datos!BF13)/Datos!BF13),(('Resol  Asuntos'!D13/NºAsuntos!G13)-Datos!BF13)/Datos!BF13," - ")</f>
        <v>-0.50990886735136698</v>
      </c>
      <c r="K13" s="857">
        <f>IF(ISNUMBER((((NºAsuntos!C13+NºAsuntos!E13)/NºAsuntos!G13)-Datos!BG13)/Datos!BG13),(((NºAsuntos!C13+NºAsuntos!E13)/NºAsuntos!G13)-Datos!BG13)/Datos!BG13," - ")</f>
        <v>0.22964167265462773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0.67384615384615387</v>
      </c>
      <c r="C16" s="456">
        <f>IF(ISNUMBER(
   IF(D_I="SI",(Datos!J16-Datos!T16)/Datos!T16,(Datos!J16+Datos!AD16-(Datos!T16+Datos!AL16))/(Datos!T16+Datos!AL16))
     ),IF(D_I="SI",(Datos!J16-Datos!T16)/Datos!T16,(Datos!J16+Datos!AD16-(Datos!T16+Datos!AL16))/(Datos!T16+Datos!AL16))," - ")</f>
        <v>-0.3347457627118644</v>
      </c>
      <c r="D16" s="456">
        <f>IF(ISNUMBER(
   IF(D_I="SI",(Datos!K16-Datos!U16)/Datos!U16,(Datos!K16+Datos!AE16-(Datos!U16+Datos!AM16))/(Datos!U16+Datos!AM16))
     ),IF(D_I="SI",(Datos!K16-Datos!U16)/Datos!U16,(Datos!K16+Datos!AE16-(Datos!U16+Datos!AM16))/(Datos!U16+Datos!AM16))," - ")</f>
        <v>-0.20541401273885351</v>
      </c>
      <c r="E16" s="456">
        <f>IF(ISNUMBER(
   IF(D_I="SI",(Datos!L16-Datos!V16)/Datos!V16,(Datos!L16+Datos!AF16-(Datos!V16+Datos!AN16))/(Datos!V16+Datos!AN16))
     ),IF(D_I="SI",(Datos!L16-Datos!V16)/Datos!V16,(Datos!L16+Datos!AF16-(Datos!V16+Datos!AN16))/(Datos!V16+Datos!AN16))," - ")</f>
        <v>0.49638286032276013</v>
      </c>
      <c r="F16" s="456">
        <f>IF(ISNUMBER((Datos!M16-Datos!W16)/Datos!W16),(Datos!M16-Datos!W16)/Datos!W16," - ")</f>
        <v>-0.22033898305084745</v>
      </c>
      <c r="G16" s="457">
        <f>IF(ISNUMBER((Datos!N16-Datos!X16)/Datos!X16),(Datos!N16-Datos!X16)/Datos!X16," - ")</f>
        <v>-0.26165803108808289</v>
      </c>
      <c r="H16" s="455">
        <f>IF(ISNUMBER(((NºAsuntos!G16/NºAsuntos!E16)-Datos!BD16)/Datos!BD16),((NºAsuntos!G16/NºAsuntos!E16)-Datos!BD16)/Datos!BD16," - ")</f>
        <v>0.19440950951357047</v>
      </c>
      <c r="I16" s="456">
        <f>IF(ISNUMBER(((NºAsuntos!I16/NºAsuntos!G16)-Datos!BE16)/Datos!BE16),((NºAsuntos!I16/NºAsuntos!G16)-Datos!BE16)/Datos!BE16," - ")</f>
        <v>0.88322331920379438</v>
      </c>
      <c r="J16" s="461">
        <f>IF(ISNUMBER((('Resol  Asuntos'!D16/NºAsuntos!G16)-Datos!BF16)/Datos!BF16),(('Resol  Asuntos'!D16/NºAsuntos!G16)-Datos!BF16)/Datos!BF16," - ")</f>
        <v>-1.8783329370605742E-2</v>
      </c>
      <c r="K16" s="462">
        <f>IF(ISNUMBER((((NºAsuntos!C16+NºAsuntos!E16)/NºAsuntos!G16)-Datos!BG16)/Datos!BG16),(((NºAsuntos!C16+NºAsuntos!E16)/NºAsuntos!G16)-Datos!BG16)/Datos!BG16," - ")</f>
        <v>0.72135784642581335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-0.19277108433734941</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-0.7857142857142857</v>
      </c>
      <c r="E17" s="456">
        <f>IF(ISNUMBER(
   IF(D_I="SI",(Datos!L17-Datos!V17)/Datos!V17,(Datos!L17+Datos!AF17-(Datos!V17+Datos!AN17))/(Datos!V17+Datos!AN17))
     ),IF(D_I="SI",(Datos!L17-Datos!V17)/Datos!V17,(Datos!L17+Datos!AF17-(Datos!V17+Datos!AN17))/(Datos!V17+Datos!AN17))," - ")</f>
        <v>-0.23809523809523808</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2.5555555555555554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2.1904761904761902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0.63173302107728335</v>
      </c>
      <c r="C18" s="855">
        <f>IF(ISNUMBER(
   IF(Criterios!B14="SI",(Datos!J18-Datos!T18)/Datos!T18,(Datos!J18+Datos!AD18-(Datos!T18+Datos!AL18))/(Datos!T18+Datos!AL18))
     ),IF(Criterios!B14="SI",(Datos!J18-Datos!T18)/Datos!T18,(Datos!J18+Datos!AD18-(Datos!T18+Datos!AL18))/(Datos!T18+Datos!AL18))," - ")</f>
        <v>-0.34854771784232363</v>
      </c>
      <c r="D18" s="855">
        <f>IF(ISNUMBER(
   IF(Criterios!B14="SI",(Datos!K18-Datos!U18)/Datos!U18,(Datos!K18+Datos!AE18-(Datos!U18+Datos!AM18))/(Datos!U18+Datos!AM18))
     ),IF(Criterios!B14="SI",(Datos!K18-Datos!U18)/Datos!U18,(Datos!K18+Datos!AE18-(Datos!U18+Datos!AM18))/(Datos!U18+Datos!AM18))," - ")</f>
        <v>-0.21806853582554517</v>
      </c>
      <c r="E18" s="855">
        <f>IF(ISNUMBER(
   IF(Criterios!B14="SI",(Datos!L18-Datos!V18)/Datos!V18,(Datos!L18+Datos!AF18-(Datos!V18+Datos!AN18))/(Datos!V18+Datos!AN18))
     ),IF(Criterios!B14="SI",(Datos!L18-Datos!V18)/Datos!V18,(Datos!L18+Datos!AF18-(Datos!V18+Datos!AN18))/(Datos!V18+Datos!AN18))," - ")</f>
        <v>0.46358320042530571</v>
      </c>
      <c r="F18" s="856">
        <f>IF(ISNUMBER((Datos!M18-Datos!W18)/Datos!W18),(Datos!M18-Datos!W18)/Datos!W18," - ")</f>
        <v>-0.22033898305084745</v>
      </c>
      <c r="G18" s="857">
        <f>IF(ISNUMBER((Datos!N18-Datos!X18)/Datos!X18),(Datos!N18-Datos!X18)/Datos!X18," - ")</f>
        <v>-0.26356589147286824</v>
      </c>
      <c r="H18" s="857">
        <f>IF(ISNUMBER(((NºAsuntos!G18/NºAsuntos!E18)-Datos!BD18)/Datos!BD18),((NºAsuntos!G18/NºAsuntos!E18)-Datos!BD18)/Datos!BD18," - ")</f>
        <v>0.20028969978371733</v>
      </c>
      <c r="I18" s="857">
        <f>IF(ISNUMBER(((NºAsuntos!I18/NºAsuntos!G18)-Datos!BE18)/Datos!BE18),((NºAsuntos!I18/NºAsuntos!G18)-Datos!BE18)/Datos!BE18," - ")</f>
        <v>0.87175381408973374</v>
      </c>
      <c r="J18" s="857">
        <f>IF(ISNUMBER((('Resol  Asuntos'!D18/NºAsuntos!G18)-Datos!BF18)/Datos!BF18),(('Resol  Asuntos'!D18/NºAsuntos!G18)-Datos!BF18)/Datos!BF18," - ")</f>
        <v>-2.90363967857378E-3</v>
      </c>
      <c r="K18" s="857">
        <f>IF(ISNUMBER((((NºAsuntos!C18+NºAsuntos!E18)/NºAsuntos!G18)-Datos!BG18)/Datos!BG18),(((NºAsuntos!C18+NºAsuntos!E18)/NºAsuntos!G18)-Datos!BG18)/Datos!BG18," - ")</f>
        <v>0.71394717305193034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0.33733545493996819</v>
      </c>
      <c r="C19" s="802">
        <f>IF(ISNUMBER(
   IF(J_V="SI",(Datos!J19-Datos!T19)/Datos!T19,(Datos!J19+Datos!Z19-(Datos!T19+Datos!AH19))/(Datos!T19+Datos!AH19))
     ),IF(J_V="SI",(Datos!J19-Datos!T19)/Datos!T19,(Datos!J19+Datos!Z19-(Datos!T19+Datos!AH19))/(Datos!T19+Datos!AH19))," - ")</f>
        <v>-0.30428502648050071</v>
      </c>
      <c r="D19" s="802">
        <f>IF(ISNUMBER(
   IF(J_V="SI",(Datos!K19-Datos!U19)/Datos!U19,(Datos!K19+Datos!AA19-(Datos!U19+Datos!AI19))/(Datos!U19+Datos!AI19))
     ),IF(J_V="SI",(Datos!K19-Datos!U19)/Datos!U19,(Datos!K19+Datos!AA19-(Datos!U19+Datos!AI19))/(Datos!U19+Datos!AI19))," - ")</f>
        <v>-0.1341614906832298</v>
      </c>
      <c r="E19" s="802">
        <f>IF(ISNUMBER(
   IF(J_V="SI",(Datos!L19-Datos!V19)/Datos!V19,(Datos!L19+Datos!AB19-(Datos!V19+Datos!AJ19))/(Datos!V19+Datos!AJ19))
     ),IF(J_V="SI",(Datos!L19-Datos!V19)/Datos!V19,(Datos!L19+Datos!AB19-(Datos!V19+Datos!AJ19))/(Datos!V19+Datos!AJ19))," - ")</f>
        <v>0.25421670489812442</v>
      </c>
      <c r="F19" s="803">
        <f>IF(ISNUMBER((Datos!M19-Datos!W19)/Datos!W19),(Datos!M19-Datos!W19)/Datos!W19," - ")</f>
        <v>-0.27218934911242604</v>
      </c>
      <c r="G19" s="804">
        <f>IF(ISNUMBER((Datos!N19-Datos!X19)/Datos!X19),(Datos!N19-Datos!X19)/Datos!X19," - ")</f>
        <v>-0.17307692307692307</v>
      </c>
      <c r="H19" s="805">
        <f>IF(ISNUMBER((Tasas!B19-Datos!BD19)/Datos!BD19),(Tasas!B19-Datos!BD19)/Datos!BD19," - ")</f>
        <v>0.24453050785531605</v>
      </c>
      <c r="I19" s="806">
        <f>IF(ISNUMBER((Tasas!C19-Datos!BE19)/Datos!BE19),(Tasas!C19-Datos!BE19)/Datos!BE19," - ")</f>
        <v>0.44855731340457711</v>
      </c>
      <c r="J19" s="807">
        <f>IF(ISNUMBER((Tasas!D19-Datos!BF19)/Datos!BF19),(Tasas!D19-Datos!BF19)/Datos!BF19," - ")</f>
        <v>-0.38100730488273743</v>
      </c>
      <c r="K19" s="807">
        <f>IF(ISNUMBER((Tasas!E19-Datos!BG19)/Datos!BG19),(Tasas!E19-Datos!BG19)/Datos!BG19," - ")</f>
        <v>0.37334963286163642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YmIOk+Jwt4TTw9vRPbUK6/H2FWybWgwJx2vGnRJPV0PZj+jJLZvZla7Oh9rI/XmGkB+vOFJdtTxaeQ0lu+wKw==" saltValue="QGvAzGcoxHyKPQ1aDM2q7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VILA JOIOSA, LA-VILLAJOYOSA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8</v>
      </c>
      <c r="D10" s="444">
        <f>IF(ISNUMBER('Resol  Asuntos'!D10/NºAsuntos!G10),'Resol  Asuntos'!D10/NºAsuntos!G10," - ")</f>
        <v>1</v>
      </c>
      <c r="E10" s="445">
        <f>IF(ISNUMBER((NºAsuntos!C10+NºAsuntos!E10)/NºAsuntos!G10),(NºAsuntos!C10+NºAsuntos!E10)/NºAsuntos!G10," - ")</f>
        <v>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0.91572456320657758</v>
      </c>
      <c r="C12" s="443">
        <f>IF(ISNUMBER(NºAsuntos!I12/NºAsuntos!G12),NºAsuntos!I12/NºAsuntos!G12," - ")</f>
        <v>7.333333333333333</v>
      </c>
      <c r="D12" s="444">
        <f>IF(ISNUMBER('Resol  Asuntos'!D12/NºAsuntos!G12),'Resol  Asuntos'!D12/NºAsuntos!G12," - ")</f>
        <v>0.17171717171717171</v>
      </c>
      <c r="E12" s="445">
        <f>IF(ISNUMBER((NºAsuntos!C12+NºAsuntos!E12)/NºAsuntos!G12),(NºAsuntos!C12+NºAsuntos!E12)/NºAsuntos!G12," - ")</f>
        <v>8.3310886644219977</v>
      </c>
      <c r="G12" s="463"/>
    </row>
    <row r="13" spans="1:7" ht="14.25" thickTop="1" thickBot="1">
      <c r="A13" s="848" t="str">
        <f>Datos!A13</f>
        <v>TOTAL</v>
      </c>
      <c r="B13" s="858">
        <f>IF(ISNUMBER(NºAsuntos!G13/NºAsuntos!E13),NºAsuntos!G13/NºAsuntos!E13," - ")</f>
        <v>0.91581108829568791</v>
      </c>
      <c r="C13" s="859">
        <f>IF(ISNUMBER(NºAsuntos!I13/NºAsuntos!G13),NºAsuntos!I13/NºAsuntos!G13," - ")</f>
        <v>7.3340807174887894</v>
      </c>
      <c r="D13" s="860">
        <f>IF(ISNUMBER('Resol  Asuntos'!D13/NºAsuntos!G13),'Resol  Asuntos'!D13/NºAsuntos!G13," - ")</f>
        <v>0.1726457399103139</v>
      </c>
      <c r="E13" s="861">
        <f>IF(ISNUMBER((NºAsuntos!C13+NºAsuntos!E13)/NºAsuntos!G13),(NºAsuntos!C13+NºAsuntos!E13)/NºAsuntos!G13," - ")</f>
        <v>8.3318385650224212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1.059447983014862</v>
      </c>
      <c r="C16" s="443">
        <f>IF(ISNUMBER(NºAsuntos!I16/NºAsuntos!G16),NºAsuntos!I16/NºAsuntos!G16," - ")</f>
        <v>5.3887775551102202</v>
      </c>
      <c r="D16" s="444">
        <f>IF(ISNUMBER('Resol  Asuntos'!D16/NºAsuntos!G16),'Resol  Asuntos'!D16/NºAsuntos!G16," - ")</f>
        <v>0.18436873747494989</v>
      </c>
      <c r="E16" s="445">
        <f>IF(ISNUMBER((NºAsuntos!C16+NºAsuntos!E16)/NºAsuntos!G16),(NºAsuntos!C16+NºAsuntos!E16)/NºAsuntos!G16," - ")</f>
        <v>6.3947895791583163</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21.333333333333332</v>
      </c>
      <c r="D17" s="444">
        <f>IF(ISNUMBER('Resol  Asuntos'!D17/NºAsuntos!G17),'Resol  Asuntos'!D17/NºAsuntos!G17," - ")</f>
        <v>0</v>
      </c>
      <c r="E17" s="445">
        <f>IF(ISNUMBER((NºAsuntos!C17+NºAsuntos!E17)/NºAsuntos!G17),(NºAsuntos!C17+NºAsuntos!E17)/NºAsuntos!G17," - ")</f>
        <v>22.333333333333332</v>
      </c>
      <c r="G17" s="463"/>
    </row>
    <row r="18" spans="1:7" ht="14.25" thickTop="1" thickBot="1">
      <c r="A18" s="848" t="str">
        <f>Datos!A18</f>
        <v>TOTAL</v>
      </c>
      <c r="B18" s="858">
        <f>IF(ISNUMBER(NºAsuntos!G18/NºAsuntos!E18),NºAsuntos!G18/NºAsuntos!E18," - ")</f>
        <v>1.0658174097664543</v>
      </c>
      <c r="C18" s="859">
        <f>IF(ISNUMBER(NºAsuntos!I18/NºAsuntos!G18),NºAsuntos!I18/NºAsuntos!G18," - ")</f>
        <v>5.4840637450199203</v>
      </c>
      <c r="D18" s="862">
        <f>IF(ISNUMBER('Resol  Asuntos'!D18/NºAsuntos!G18),'Resol  Asuntos'!D18/NºAsuntos!G18," - ")</f>
        <v>0.18326693227091634</v>
      </c>
      <c r="E18" s="861">
        <f>IF(ISNUMBER((NºAsuntos!C18+NºAsuntos!E18)/NºAsuntos!G18),(NºAsuntos!C18+NºAsuntos!E18)/NºAsuntos!G18," - ")</f>
        <v>6.4900398406374498</v>
      </c>
      <c r="G18" s="463"/>
    </row>
    <row r="19" spans="1:7" ht="15.75" customHeight="1" thickTop="1" thickBot="1">
      <c r="A19" s="793" t="str">
        <f>Datos!A19</f>
        <v>TOTAL JURISDICCIONES</v>
      </c>
      <c r="B19" s="808">
        <f>IF(ISNUMBER(NºAsuntos!G19/NºAsuntos!E19),NºAsuntos!G19/NºAsuntos!E19," - ")</f>
        <v>0.96470588235294119</v>
      </c>
      <c r="C19" s="809">
        <f>IF(ISNUMBER(NºAsuntos!I19/NºAsuntos!G19),NºAsuntos!I19/NºAsuntos!G19," - ")</f>
        <v>6.6678622668579628</v>
      </c>
      <c r="D19" s="810">
        <f>IF(ISNUMBER('Resol  Asuntos'!D19/NºAsuntos!G19),'Resol  Asuntos'!D19/NºAsuntos!G19," - ")</f>
        <v>0.17647058823529413</v>
      </c>
      <c r="E19" s="811">
        <f>IF(ISNUMBER((NºAsuntos!C19+NºAsuntos!E19)/NºAsuntos!G19),(NºAsuntos!C19+NºAsuntos!E19)/NºAsuntos!G19," - ")</f>
        <v>7.6685796269727406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htgLTuVjWD0aV6WZP5+BZqx1/ZCT2wpFZn4P4XSwipO5vAxpX9S5T8E1AiJr9R8548N3/SCZN45IKGEIqX3Mg==" saltValue="sSdPtbVF2pbvvgmyEix/9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VILA JOIOSA, LA-VILLAJOYOSA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8</v>
      </c>
      <c r="AB10" s="334">
        <f>IF(ISNUMBER(Datos!R10),Datos!R10," - ")</f>
        <v>1</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24</v>
      </c>
      <c r="AN10" s="244">
        <f>IF(ISNUMBER('Resol  Asuntos'!D10/NºAsuntos!G10),'Resol  Asuntos'!D10/NºAsuntos!G10," - ")</f>
        <v>1</v>
      </c>
      <c r="AO10" s="245">
        <f>IF(ISNUMBER((NºAsuntos!C10+NºAsuntos!E10)/NºAsuntos!G10),(NºAsuntos!C10+NºAsuntos!E10)/NºAsuntos!G10," - ")</f>
        <v>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50</v>
      </c>
      <c r="Y12" s="334">
        <f t="shared" si="0"/>
        <v>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6068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153</v>
      </c>
      <c r="AJ12" s="229" t="str">
        <f>IF(ISNUMBER(Datos!BW12),Datos!BW12," - ")</f>
        <v xml:space="preserve"> - </v>
      </c>
      <c r="AK12" s="228" t="str">
        <f>IF(ISNUMBER(Datos!BX12),Datos!BX12," - ")</f>
        <v xml:space="preserve"> - </v>
      </c>
      <c r="AL12" s="243">
        <f>IF(ISNUMBER(NºAsuntos!G12/NºAsuntos!E12),NºAsuntos!G12/NºAsuntos!E12," - ")</f>
        <v>0.91572456320657758</v>
      </c>
      <c r="AM12" s="260">
        <f>IF(ISNUMBER(((NºAsuntos!I12/NºAsuntos!G12)*11)/factor_trimestre),((NºAsuntos!I12/NºAsuntos!G12)*11)/factor_trimestre," - ")</f>
        <v>22</v>
      </c>
      <c r="AN12" s="244">
        <f>IF(ISNUMBER('Resol  Asuntos'!D12/NºAsuntos!G12),'Resol  Asuntos'!D12/NºAsuntos!G12," - ")</f>
        <v>0.17171717171717171</v>
      </c>
      <c r="AO12" s="245">
        <f>IF(ISNUMBER((NºAsuntos!C12+NºAsuntos!E12)/NºAsuntos!G12),(NºAsuntos!C12+NºAsuntos!E12)/NºAsuntos!G12," - ")</f>
        <v>8.3310886644219977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8</v>
      </c>
      <c r="G13" s="866">
        <f t="shared" si="3"/>
        <v>8</v>
      </c>
      <c r="H13" s="865">
        <f t="shared" si="3"/>
        <v>0</v>
      </c>
      <c r="I13" s="867">
        <f t="shared" si="3"/>
        <v>0</v>
      </c>
      <c r="J13" s="867">
        <f t="shared" si="3"/>
        <v>0</v>
      </c>
      <c r="K13" s="867">
        <f t="shared" si="3"/>
        <v>0</v>
      </c>
      <c r="L13" s="867">
        <f t="shared" si="3"/>
        <v>168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50</v>
      </c>
      <c r="Y13" s="868">
        <f t="shared" si="4"/>
        <v>51</v>
      </c>
      <c r="Z13" s="868">
        <f t="shared" si="4"/>
        <v>0</v>
      </c>
      <c r="AA13" s="868">
        <f t="shared" si="4"/>
        <v>8</v>
      </c>
      <c r="AB13" s="868">
        <f t="shared" si="4"/>
        <v>6069</v>
      </c>
      <c r="AC13" s="868">
        <f t="shared" si="4"/>
        <v>9</v>
      </c>
      <c r="AD13" s="868">
        <f t="shared" si="4"/>
        <v>0</v>
      </c>
      <c r="AE13" s="872">
        <f t="shared" si="4"/>
        <v>0</v>
      </c>
      <c r="AF13" s="865">
        <f t="shared" si="4"/>
        <v>0</v>
      </c>
      <c r="AG13" s="873">
        <f t="shared" si="4"/>
        <v>0</v>
      </c>
      <c r="AH13" s="870">
        <f t="shared" si="4"/>
        <v>0</v>
      </c>
      <c r="AI13" s="865">
        <f t="shared" si="4"/>
        <v>154</v>
      </c>
      <c r="AJ13" s="867">
        <f t="shared" si="4"/>
        <v>0</v>
      </c>
      <c r="AK13" s="870">
        <f>SUBTOTAL(9,AK9:AK12)</f>
        <v>0</v>
      </c>
      <c r="AL13" s="874">
        <f>IF(ISNUMBER(NºAsuntos!G13/NºAsuntos!E13),NºAsuntos!G13/NºAsuntos!E13," - ")</f>
        <v>0.91581108829568791</v>
      </c>
      <c r="AM13" s="874">
        <f>IF(ISNUMBER(((NºAsuntos!I13/NºAsuntos!G13)*11)/factor_trimestre),((NºAsuntos!I13/NºAsuntos!G13)*11)/factor_trimestre," - ")</f>
        <v>22.002242152466369</v>
      </c>
      <c r="AN13" s="875">
        <f>IF(ISNUMBER('Resol  Asuntos'!D13/NºAsuntos!G13),'Resol  Asuntos'!D13/NºAsuntos!G13," - ")</f>
        <v>0.1726457399103139</v>
      </c>
      <c r="AO13" s="876">
        <f>IF(ISNUMBER((NºAsuntos!C13+NºAsuntos!E13)/NºAsuntos!G13),(NºAsuntos!C13+NºAsuntos!E13)/NºAsuntos!G13," - ")</f>
        <v>8.3318385650224212</v>
      </c>
      <c r="AP13" s="877" t="str">
        <f t="shared" si="2"/>
        <v xml:space="preserve"> - </v>
      </c>
      <c r="AQ13" s="877">
        <f>IF(ISNUMBER((H13-W13+K13)/(F13)),(H13-W13+K13)/(F13)," - ")</f>
        <v>-0.125</v>
      </c>
      <c r="AR13" s="878">
        <f>IF(ISNUMBER((Datos!P13-Datos!Q13)/(Datos!R13-Datos!P13+Datos!Q13)),(Datos!P13-Datos!Q13)/(Datos!R13-Datos!P13+Datos!Q13)," - ")</f>
        <v>1.9828600235254578E-2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2717</v>
      </c>
      <c r="G16" s="333">
        <f>IF(ISNUMBER(IF(D_I="SI",Datos!I16,Datos!I16+Datos!AC16)),IF(D_I="SI",Datos!I16,Datos!I16+Datos!AC16)," - ")</f>
        <v>2720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499</v>
      </c>
      <c r="X16" s="226">
        <f>IF(ISNUMBER(Datos!Q16),Datos!Q16," - ")</f>
        <v>13</v>
      </c>
      <c r="Y16" s="334">
        <f t="shared" ref="Y16:Y17" si="7">SUM(W16:X16)</f>
        <v>512</v>
      </c>
      <c r="Z16" s="335" t="str">
        <f>IF(ISNUMBER(Datos!CC16),Datos!CC16," - ")</f>
        <v xml:space="preserve"> - </v>
      </c>
      <c r="AA16" s="332">
        <f>IF(ISNUMBER(IF(D_I="SI",Datos!L16,Datos!L16+Datos!AF16)),IF(D_I="SI",Datos!L16,Datos!L16+Datos!AF16)," - ")</f>
        <v>2689</v>
      </c>
      <c r="AB16" s="334">
        <f>IF(ISNUMBER(Datos!R16),Datos!R16," - ")</f>
        <v>205</v>
      </c>
      <c r="AC16" s="334">
        <f t="shared" si="6"/>
        <v>2894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92</v>
      </c>
      <c r="AJ16" s="231" t="str">
        <f>IF(ISNUMBER(Datos!BW16),Datos!BW16," - ")</f>
        <v xml:space="preserve"> - </v>
      </c>
      <c r="AK16" s="232" t="str">
        <f>IF(ISNUMBER(Datos!BX16),Datos!BX16," - ")</f>
        <v xml:space="preserve"> - </v>
      </c>
      <c r="AL16" s="243">
        <f>IF(ISNUMBER(NºAsuntos!G16/NºAsuntos!E16),NºAsuntos!G16/NºAsuntos!E16," - ")</f>
        <v>1.059447983014862</v>
      </c>
      <c r="AM16" s="260">
        <f>IF(ISNUMBER(((NºAsuntos!I16/NºAsuntos!G16)*11)/factor_trimestre),((NºAsuntos!I16/NºAsuntos!G16)*11)/factor_trimestre," - ")</f>
        <v>16.16633266533066</v>
      </c>
      <c r="AN16" s="244">
        <f>IF(ISNUMBER('Resol  Asuntos'!D16/NºAsuntos!G16),'Resol  Asuntos'!D16/NºAsuntos!G16," - ")</f>
        <v>0.18436873747494989</v>
      </c>
      <c r="AO16" s="245">
        <f>IF(ISNUMBER((NºAsuntos!C16+NºAsuntos!E16)/NºAsuntos!G16),(NºAsuntos!C16+NºAsuntos!E16)/NºAsuntos!G16," - ")</f>
        <v>6.3947895791583163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64</v>
      </c>
      <c r="AB17" s="334">
        <f>IF(ISNUMBER(Datos!R17),Datos!R17," - ")</f>
        <v>0</v>
      </c>
      <c r="AC17" s="334">
        <f t="shared" si="6"/>
        <v>64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64</v>
      </c>
      <c r="AN17" s="244">
        <f>IF(ISNUMBER('Resol  Asuntos'!D17/NºAsuntos!G17),'Resol  Asuntos'!D17/NºAsuntos!G17," - ")</f>
        <v>0</v>
      </c>
      <c r="AO17" s="245">
        <f>IF(ISNUMBER((NºAsuntos!C17+NºAsuntos!E17)/NºAsuntos!G17),(NºAsuntos!C17+NºAsuntos!E17)/NºAsuntos!G17," - ")</f>
        <v>22.333333333333332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2717</v>
      </c>
      <c r="G18" s="866">
        <f>SUBTOTAL(9,G15:G17)</f>
        <v>2787</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502</v>
      </c>
      <c r="X18" s="867">
        <f t="shared" si="11"/>
        <v>13</v>
      </c>
      <c r="Y18" s="868">
        <f t="shared" si="11"/>
        <v>515</v>
      </c>
      <c r="Z18" s="868">
        <f t="shared" si="11"/>
        <v>0</v>
      </c>
      <c r="AA18" s="868">
        <f t="shared" si="11"/>
        <v>2753</v>
      </c>
      <c r="AB18" s="868">
        <f t="shared" si="11"/>
        <v>205</v>
      </c>
      <c r="AC18" s="868">
        <f t="shared" si="11"/>
        <v>2958</v>
      </c>
      <c r="AD18" s="868">
        <f t="shared" si="11"/>
        <v>0</v>
      </c>
      <c r="AE18" s="872">
        <f t="shared" si="11"/>
        <v>0</v>
      </c>
      <c r="AF18" s="865">
        <f t="shared" si="11"/>
        <v>0</v>
      </c>
      <c r="AG18" s="873">
        <f t="shared" si="11"/>
        <v>0</v>
      </c>
      <c r="AH18" s="870">
        <f t="shared" si="11"/>
        <v>0</v>
      </c>
      <c r="AI18" s="865">
        <f t="shared" si="11"/>
        <v>92</v>
      </c>
      <c r="AJ18" s="867">
        <f t="shared" si="11"/>
        <v>0</v>
      </c>
      <c r="AK18" s="870">
        <f t="shared" si="11"/>
        <v>0</v>
      </c>
      <c r="AL18" s="874">
        <f>IF(ISNUMBER(NºAsuntos!G18/NºAsuntos!E18),NºAsuntos!G18/NºAsuntos!E18," - ")</f>
        <v>1.0658174097664543</v>
      </c>
      <c r="AM18" s="874">
        <f>IF(ISNUMBER(((NºAsuntos!I18/NºAsuntos!G18)*11)/factor_trimestre),((NºAsuntos!I18/NºAsuntos!G18)*11)/factor_trimestre," - ")</f>
        <v>16.452191235059761</v>
      </c>
      <c r="AN18" s="875">
        <f>IF(ISNUMBER('Resol  Asuntos'!D18/NºAsuntos!G18),'Resol  Asuntos'!D18/NºAsuntos!G18," - ")</f>
        <v>0.18326693227091634</v>
      </c>
      <c r="AO18" s="876">
        <f>IF(ISNUMBER((NºAsuntos!C18+NºAsuntos!E18)/NºAsuntos!G18),(NºAsuntos!C18+NºAsuntos!E18)/NºAsuntos!G18," - ")</f>
        <v>6.4900398406374498</v>
      </c>
      <c r="AP18" s="877" t="str">
        <f t="shared" si="2"/>
        <v xml:space="preserve"> - </v>
      </c>
      <c r="AQ18" s="877">
        <f>IF(ISNUMBER((H18-W18+K18)/(F18)),(H18-W18+K18)/(F18)," - ")</f>
        <v>-0.1847626058152374</v>
      </c>
      <c r="AR18" s="878">
        <f>IF(ISNUMBER((Datos!P18-Datos!Q18)/(Datos!R18-Datos!P18+Datos!Q18)),(Datos!P18-Datos!Q18)/(Datos!R18-Datos!P18+Datos!Q18)," - ")</f>
        <v>4.060913705583756E-2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2725</v>
      </c>
      <c r="G19" s="821">
        <f t="shared" si="13"/>
        <v>2795</v>
      </c>
      <c r="H19" s="820">
        <f t="shared" si="13"/>
        <v>0</v>
      </c>
      <c r="I19" s="822">
        <f t="shared" si="13"/>
        <v>0</v>
      </c>
      <c r="J19" s="822">
        <f t="shared" si="13"/>
        <v>0</v>
      </c>
      <c r="K19" s="881">
        <f t="shared" si="13"/>
        <v>0</v>
      </c>
      <c r="L19" s="822">
        <f t="shared" si="13"/>
        <v>189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503</v>
      </c>
      <c r="X19" s="821">
        <f t="shared" si="14"/>
        <v>63</v>
      </c>
      <c r="Y19" s="828">
        <f t="shared" si="14"/>
        <v>566</v>
      </c>
      <c r="Z19" s="828">
        <f t="shared" si="14"/>
        <v>0</v>
      </c>
      <c r="AA19" s="828">
        <f t="shared" si="14"/>
        <v>2761</v>
      </c>
      <c r="AB19" s="828">
        <f t="shared" si="14"/>
        <v>6274</v>
      </c>
      <c r="AC19" s="828">
        <f t="shared" si="14"/>
        <v>2967</v>
      </c>
      <c r="AD19" s="828">
        <f t="shared" si="14"/>
        <v>0</v>
      </c>
      <c r="AE19" s="830">
        <f t="shared" si="14"/>
        <v>0</v>
      </c>
      <c r="AF19" s="831">
        <f t="shared" si="14"/>
        <v>0</v>
      </c>
      <c r="AG19" s="832">
        <f t="shared" si="14"/>
        <v>0</v>
      </c>
      <c r="AH19" s="830">
        <f t="shared" si="14"/>
        <v>0</v>
      </c>
      <c r="AI19" s="820">
        <f t="shared" si="14"/>
        <v>246</v>
      </c>
      <c r="AJ19" s="820">
        <f t="shared" si="14"/>
        <v>0</v>
      </c>
      <c r="AK19" s="830">
        <f t="shared" si="14"/>
        <v>0</v>
      </c>
      <c r="AL19" s="884">
        <f>IF(ISNUMBER(NºAsuntos!G19/NºAsuntos!E19),NºAsuntos!G19/NºAsuntos!E19," - ")</f>
        <v>0.96470588235294119</v>
      </c>
      <c r="AM19" s="885">
        <f>IF(ISNUMBER(((NºAsuntos!I19/NºAsuntos!G19)*11)/factor_trimestre),((NºAsuntos!I19/NºAsuntos!G19)*11)/factor_trimestre," - ")</f>
        <v>20.003586800573888</v>
      </c>
      <c r="AN19" s="885">
        <f>IF(ISNUMBER('Resol  Asuntos'!D19/NºAsuntos!G19),'Resol  Asuntos'!D19/NºAsuntos!G19," - ")</f>
        <v>0.17647058823529413</v>
      </c>
      <c r="AO19" s="886">
        <f>IF(ISNUMBER((NºAsuntos!C19+NºAsuntos!E19)/NºAsuntos!G19),(NºAsuntos!C19+NºAsuntos!E19)/NºAsuntos!G19," - ")</f>
        <v>7.6685796269727406</v>
      </c>
      <c r="AP19" s="887" t="str">
        <f t="shared" si="2"/>
        <v xml:space="preserve"> - </v>
      </c>
      <c r="AQ19" s="888">
        <f>IF(OR(ISNUMBER(FIND("01",Criterios!A8,1)),ISNUMBER(FIND("02",Criterios!A8,1)),ISNUMBER(FIND("03",Criterios!A8,1)),ISNUMBER(FIND("04",Criterios!A8,1))),(I19-W19+K19)/(F19-K19),(H19-W19+K19)/(F19-K19))</f>
        <v>-0.18458715596330275</v>
      </c>
      <c r="AR19" s="889">
        <f>IF(ISNUMBER((Datos!P19-Datos!Q19)/(Datos!R19-Datos!P19+Datos!Q19)),(Datos!P19-Datos!Q19)/(Datos!R19-Datos!P19+Datos!Q19)," - ")</f>
        <v>2.0494469746258945E-2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1118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1564.0418792346961</v>
      </c>
      <c r="G21" s="253">
        <f>IF(ISNUMBER(STDEV(G8:G18)),STDEV(G8:G18),"-")</f>
        <v>1493.3825698728374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273.22554785378327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68.86218120274728</v>
      </c>
      <c r="AJ21" s="252">
        <f t="shared" si="18"/>
        <v>0</v>
      </c>
      <c r="AK21" s="254">
        <f t="shared" si="18"/>
        <v>0</v>
      </c>
      <c r="AL21" s="249">
        <f t="shared" si="18"/>
        <v>7.3625549672959076E-2</v>
      </c>
      <c r="AM21" s="250">
        <f t="shared" si="18"/>
        <v>18.195919682053162</v>
      </c>
      <c r="AN21" s="250">
        <f t="shared" si="18"/>
        <v>0.35731836820677504</v>
      </c>
      <c r="AO21" s="251">
        <f t="shared" si="18"/>
        <v>6.0641094092411905</v>
      </c>
      <c r="AP21" s="291" t="str">
        <f t="shared" si="18"/>
        <v>-</v>
      </c>
      <c r="AQ21" s="292">
        <f t="shared" si="18"/>
        <v>4.2258543833332919E-2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zkziErN6wJCZzhYkCJ2TEvWATC3jARMEqhvoIwB1A9O1Xt3o9oXCg2d065Or1p6NF9fEJeBCKhnkNE07WJ3X8Q==" saltValue="WK+NQdFR82UEBPJtOWXr1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VILA JOIOSA, LA-VILLAJOYOSA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v>
      </c>
      <c r="E10" s="348">
        <f>IF(ISNUMBER((Datos!J10-Datos!T10)/Datos!T10),(Datos!J10-Datos!T10)/Datos!T10," - ")</f>
        <v>0</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-0.30454545454545456</v>
      </c>
      <c r="I12" s="350">
        <f>IF(ISNUMBER((Tasas!C12-Datos!BE12)/Datos!BE12),(Tasas!C12-Datos!BE12)/Datos!BE12," - ")</f>
        <v>0.28505913589186577</v>
      </c>
      <c r="J12" s="349">
        <f>IF(ISNUMBER((Tasas!D12-Datos!BF12)/Datos!BF12),(Tasas!D12-Datos!BF12)/Datos!BF12," - ")</f>
        <v>-0.51254480286738358</v>
      </c>
      <c r="K12" s="351">
        <f>IF(ISNUMBER((Tasas!E12-Datos!BG12)/Datos!BG12),(Tasas!E12-Datos!BG12)/Datos!BG12," - ")</f>
        <v>0.23065677203731019</v>
      </c>
      <c r="M12" t="e">
        <f>IF(Monitorios="SI",Datos!CE12,0)</f>
        <v>#REF!</v>
      </c>
      <c r="N12" t="e">
        <f>IF(Monitorios="SI",Datos!CF12,0)</f>
        <v>#REF!</v>
      </c>
      <c r="O12" t="e">
        <f>IF(Monitorios="SI",Datos!CG12,0)</f>
        <v>#REF!</v>
      </c>
      <c r="P12" t="e">
        <f>IF(Monitorios="SI",Datos!CH12,0)</f>
        <v>#REF!</v>
      </c>
      <c r="Q12">
        <f>IF(J_V="SI",0,Datos!AG12)</f>
        <v>161</v>
      </c>
      <c r="R12">
        <f>IF(J_V="SI",0,Datos!AH12)</f>
        <v>127</v>
      </c>
      <c r="S12">
        <f>IF(J_V="SI",0,Datos!AI12)</f>
        <v>111</v>
      </c>
      <c r="T12">
        <f>IF(J_V="SI",0,Datos!AJ12)</f>
        <v>177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v>
      </c>
      <c r="I13" s="357">
        <f>IF(ISNUMBER((Tasas!C13-Datos!BE13)/Datos!BE13),(Tasas!C13-Datos!BE13)/Datos!BE13," - ")</f>
        <v>0.28379568436331787</v>
      </c>
      <c r="J13" s="355">
        <f>IF(ISNUMBER((Tasas!D13-Datos!BF13)/Datos!BF13),(Tasas!D13-Datos!BF13)/Datos!BF13," - ")</f>
        <v>-0.50990886735136698</v>
      </c>
      <c r="K13" s="358">
        <f>IF(ISNUMBER((Tasas!E13-Datos!BG13)/Datos!BG13),(Tasas!E13-Datos!BG13)/Datos!BG13," - ")</f>
        <v>0.22964167265462773</v>
      </c>
      <c r="M13" t="e">
        <f>IF(Monitorios="SI",Datos!CE13,0)</f>
        <v>#REF!</v>
      </c>
      <c r="N13" t="e">
        <f>IF(Monitorios="SI",Datos!CF13,0)</f>
        <v>#REF!</v>
      </c>
      <c r="O13" t="e">
        <f>IF(Monitorios="SI",Datos!CG13,0)</f>
        <v>#REF!</v>
      </c>
      <c r="P13" t="e">
        <f>IF(Monitorios="SI",Datos!CH13,0)</f>
        <v>#REF!</v>
      </c>
      <c r="Q13">
        <f>IF(J_V="SI",0,Datos!AG13)</f>
        <v>161</v>
      </c>
      <c r="R13">
        <f>IF(J_V="SI",0,Datos!AH13)</f>
        <v>127</v>
      </c>
      <c r="S13">
        <f>IF(J_V="SI",0,Datos!AI13)</f>
        <v>111</v>
      </c>
      <c r="T13">
        <f>IF(J_V="SI",0,Datos!AJ13)</f>
        <v>177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0.67384615384615387</v>
      </c>
      <c r="E16" s="348">
        <f>IF(ISNUMBER(
   IF(D_I="SI",(Datos!J16-Datos!T16)/Datos!T16,(Datos!J16+Datos!AD16-(Datos!T16+Datos!AL16))/(Datos!T16+Datos!AL16))
     ),IF(D_I="SI",(Datos!J16-Datos!T16)/Datos!T16,(Datos!J16+Datos!AD16-(Datos!T16+Datos!AL16))/(Datos!T16+Datos!AL16))," - ")</f>
        <v>-0.3347457627118644</v>
      </c>
      <c r="F16" s="348">
        <f>IF(ISNUMBER(
   IF(D_I="SI",(Datos!K16-Datos!U16)/Datos!U16,(Datos!K16+Datos!AE16-(Datos!U16+Datos!AM16))/(Datos!U16+Datos!AM16))
     ),IF(D_I="SI",(Datos!K16-Datos!U16)/Datos!U16,(Datos!K16+Datos!AE16-(Datos!U16+Datos!AM16))/(Datos!U16+Datos!AM16))," - ")</f>
        <v>-0.20541401273885351</v>
      </c>
      <c r="G16" s="349">
        <f>IF(ISNUMBER(
   IF(D_I="SI",(Datos!L16-Datos!V16)/Datos!V16,(Datos!L16+Datos!AF16-(Datos!V16+Datos!AN16))/(Datos!V16+Datos!AN16))
     ),IF(D_I="SI",(Datos!L16-Datos!V16)/Datos!V16,(Datos!L16+Datos!AF16-(Datos!V16+Datos!AN16))/(Datos!V16+Datos!AN16))," - ")</f>
        <v>0.49638286032276013</v>
      </c>
      <c r="H16" s="230">
        <f>IF(ISNUMBER((Datos!M16-Datos!W16)/Datos!W16),(Datos!M16-Datos!W16)/Datos!W16," - ")</f>
        <v>-0.22033898305084745</v>
      </c>
      <c r="I16" s="350">
        <f>IF(ISNUMBER((Tasas!C16-Datos!BE16)/Datos!BE16),(Tasas!C16-Datos!BE16)/Datos!BE16," - ")</f>
        <v>0.88322331920379438</v>
      </c>
      <c r="J16" s="349">
        <f>IF(ISNUMBER((Tasas!D16-Datos!BF16)/Datos!BF16),(Tasas!D16-Datos!BF16)/Datos!BF16," - ")</f>
        <v>-1.8783329370605742E-2</v>
      </c>
      <c r="K16" s="351">
        <f>IF(ISNUMBER((Tasas!E16-Datos!BG16)/Datos!BG16),(Tasas!E16-Datos!BG16)/Datos!BG16," - ")</f>
        <v>0.72135784642581335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-0.19277108433734941</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-0.7857142857142857</v>
      </c>
      <c r="G17" s="349">
        <f>IF(ISNUMBER(
   IF(D_I="SI",(Datos!L17-Datos!V17)/Datos!V17,(Datos!L17+Datos!AF17-(Datos!V17+Datos!AN17))/(Datos!V17+Datos!AN17))
     ),IF(D_I="SI",(Datos!L17-Datos!V17)/Datos!V17,(Datos!L17+Datos!AF17-(Datos!V17+Datos!AN17))/(Datos!V17+Datos!AN17))," - ")</f>
        <v>-0.23809523809523808</v>
      </c>
      <c r="H17" s="230" t="str">
        <f>IF(ISNUMBER((Datos!M17-Datos!W17)/Datos!W17),(Datos!M17-Datos!W17)/Datos!W17," - ")</f>
        <v xml:space="preserve"> - </v>
      </c>
      <c r="I17" s="350">
        <f>IF(ISNUMBER((Tasas!C17-Datos!BE17)/Datos!BE17),(Tasas!C17-Datos!BE17)/Datos!BE17," - ")</f>
        <v>2.5555555555555554</v>
      </c>
      <c r="J17" s="349" t="str">
        <f>IF(ISNUMBER((Tasas!D17-Datos!BF17)/Datos!BF17),(Tasas!D17-Datos!BF17)/Datos!BF17," - ")</f>
        <v xml:space="preserve"> - </v>
      </c>
      <c r="K17" s="351">
        <f>IF(ISNUMBER((Tasas!E17-Datos!BG17)/Datos!BG17),(Tasas!E17-Datos!BG17)/Datos!BG17," - ")</f>
        <v>2.1904761904761902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0.63173302107728335</v>
      </c>
      <c r="E18" s="354">
        <f>IF(ISNUMBER(
   IF(D_I="SI",(Datos!J18-Datos!T18)/Datos!T18,(Datos!J18+Datos!AD18-(Datos!T18+Datos!AL18))/(Datos!T18+Datos!AL18))
     ),IF(D_I="SI",(Datos!J18-Datos!T18)/Datos!T18,(Datos!J18+Datos!AD18-(Datos!T18+Datos!AL18))/(Datos!T18+Datos!AL18))," - ")</f>
        <v>-0.34854771784232363</v>
      </c>
      <c r="F18" s="354">
        <f>IF(ISNUMBER(
   IF(D_I="SI",(Datos!K18-Datos!U18)/Datos!U18,(Datos!K18+Datos!AE18-(Datos!U18+Datos!AM18))/(Datos!U18+Datos!AM18))
     ),IF(D_I="SI",(Datos!K18-Datos!U18)/Datos!U18,(Datos!K18+Datos!AE18-(Datos!U18+Datos!AM18))/(Datos!U18+Datos!AM18))," - ")</f>
        <v>-0.21806853582554517</v>
      </c>
      <c r="G18" s="355">
        <f>IF(ISNUMBER(
   IF(D_I="SI",(Datos!L18-Datos!V18)/Datos!V18,(Datos!L18+Datos!AF18-(Datos!V18+Datos!AN18))/(Datos!V18+Datos!AN18))
     ),IF(D_I="SI",(Datos!L18-Datos!V18)/Datos!V18,(Datos!L18+Datos!AF18-(Datos!V18+Datos!AN18))/(Datos!V18+Datos!AN18))," - ")</f>
        <v>0.46358320042530571</v>
      </c>
      <c r="H18" s="356">
        <f>IF(ISNUMBER((Datos!M18-Datos!W18)/Datos!W18),(Datos!M18-Datos!W18)/Datos!W18," - ")</f>
        <v>-0.22033898305084745</v>
      </c>
      <c r="I18" s="357">
        <f>IF(ISNUMBER((Tasas!C18-Datos!BE18)/Datos!BE18),(Tasas!C18-Datos!BE18)/Datos!BE18," - ")</f>
        <v>0.87175381408973374</v>
      </c>
      <c r="J18" s="355">
        <f>IF(ISNUMBER((Tasas!D18-Datos!BF18)/Datos!BF18),(Tasas!D18-Datos!BF18)/Datos!BF18," - ")</f>
        <v>-2.90363967857378E-3</v>
      </c>
      <c r="K18" s="358">
        <f>IF(ISNUMBER((Tasas!E18-Datos!BG18)/Datos!BG18),(Tasas!E18-Datos!BG18)/Datos!BG18," - ")</f>
        <v>0.71394717305193034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0.33733545493996819</v>
      </c>
      <c r="E19" s="363">
        <f>IF(ISNUMBER(
   IF(J_V="SI",(Datos!J19-Datos!T19)/Datos!T19,(Datos!J19+Datos!Z19-(Datos!T19+Datos!AH19))/(Datos!T19+Datos!AH19))
     ),IF(J_V="SI",(Datos!J19-Datos!T19)/Datos!T19,(Datos!J19+Datos!Z19-(Datos!T19+Datos!AH19))/(Datos!T19+Datos!AH19))," - ")</f>
        <v>-0.30428502648050071</v>
      </c>
      <c r="F19" s="363">
        <f>IF(ISNUMBER(
   IF(J_V="SI",(Datos!K19-Datos!U19)/Datos!U19,(Datos!K19+Datos!AA19-(Datos!U19+Datos!AI19))/(Datos!U19+Datos!AI19))
     ),IF(J_V="SI",(Datos!K19-Datos!U19)/Datos!U19,(Datos!K19+Datos!AA19-(Datos!U19+Datos!AI19))/(Datos!U19+Datos!AI19))," - ")</f>
        <v>-0.1341614906832298</v>
      </c>
      <c r="G19" s="364">
        <f>IF(ISNUMBER(
   IF(J_V="SI",(Datos!L19-Datos!V19)/Datos!V19,(Datos!L19+Datos!AB19-(Datos!V19+Datos!AJ19))/(Datos!V19+Datos!AJ19))
     ),IF(J_V="SI",(Datos!L19-Datos!V19)/Datos!V19,(Datos!L19+Datos!AB19-(Datos!V19+Datos!AJ19))/(Datos!V19+Datos!AJ19))," - ")</f>
        <v>0.25421670489812442</v>
      </c>
      <c r="H19" s="365">
        <f>IF(ISNUMBER((Datos!M19-Datos!W19)/Datos!W19),(Datos!M19-Datos!W19)/Datos!W19," - ")</f>
        <v>-0.27218934911242604</v>
      </c>
      <c r="I19" s="362">
        <f>IF(ISNUMBER((Tasas!C19-Datos!BE19)/Datos!BE19),(Tasas!C19-Datos!BE19)/Datos!BE19," - ")</f>
        <v>0.44855731340457711</v>
      </c>
      <c r="J19" s="363">
        <f>IF(ISNUMBER((Tasas!D19-Datos!BF19)/Datos!BF19),(Tasas!D19-Datos!BF19)/Datos!BF19," - ")</f>
        <v>-0.38100730488273743</v>
      </c>
      <c r="K19" s="364">
        <f>IF(ISNUMBER((Tasas!E19-Datos!BG19)/Datos!BG19),(Tasas!E19-Datos!BG19)/Datos!BG19," - ")</f>
        <v>0.37334963286163642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0.41508555388618112</v>
      </c>
      <c r="E21" s="278">
        <f t="shared" si="1"/>
        <v>0.41839813648707924</v>
      </c>
      <c r="F21" s="278">
        <f t="shared" si="1"/>
        <v>0.33144387185380864</v>
      </c>
      <c r="G21" s="279">
        <f t="shared" si="1"/>
        <v>0.34192680920088564</v>
      </c>
      <c r="H21" s="285">
        <f t="shared" si="1"/>
        <v>4.7340852762101239E-2</v>
      </c>
      <c r="I21" s="277">
        <f t="shared" si="1"/>
        <v>0.93153321869302419</v>
      </c>
      <c r="J21" s="278">
        <f t="shared" si="1"/>
        <v>0.28897119458107262</v>
      </c>
      <c r="K21" s="279">
        <f t="shared" si="1"/>
        <v>0.80544895943754791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RsSArKcXpFn3r14Pgto+yL3+GDoFehaWevCyCFxtLCPzQX5hOwCCbhogYIy5mdFP42b2GcXZaFfInJD+5lyw==" saltValue="bVRPxoUwYaclwFIqvp0n8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